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erlihy\Desktop\eLearning Design\Studio\FM fund\"/>
    </mc:Choice>
  </mc:AlternateContent>
  <bookViews>
    <workbookView xWindow="0" yWindow="0" windowWidth="23040" windowHeight="9240" tabRatio="808" activeTab="4"/>
  </bookViews>
  <sheets>
    <sheet name="Cover" sheetId="3" r:id="rId1"/>
    <sheet name="Calcs" sheetId="5" r:id="rId2"/>
    <sheet name="Debt" sheetId="6" r:id="rId3"/>
    <sheet name="IncStat" sheetId="7" r:id="rId4"/>
    <sheet name="BalSheet" sheetId="8" r:id="rId5"/>
    <sheet name="CashFlow" sheetId="9" r:id="rId6"/>
  </sheets>
  <definedNames>
    <definedName name="Ccy">Cover!#REF!</definedName>
    <definedName name="circ">Cover!$C$22</definedName>
    <definedName name="CoName">Cover!$C$19</definedName>
    <definedName name="Units">Cover!$C$20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8" l="1"/>
  <c r="E19" i="5"/>
  <c r="E18" i="5"/>
  <c r="E17" i="5"/>
  <c r="E16" i="5"/>
  <c r="E15" i="5"/>
  <c r="D19" i="5"/>
  <c r="E33" i="8"/>
  <c r="E20" i="6"/>
  <c r="E19" i="6"/>
  <c r="E18" i="6"/>
  <c r="E17" i="6"/>
  <c r="D20" i="6"/>
  <c r="E34" i="8"/>
  <c r="E30" i="8"/>
  <c r="E29" i="8"/>
  <c r="E22" i="8"/>
  <c r="E21" i="8"/>
  <c r="E20" i="8"/>
  <c r="E17" i="8"/>
  <c r="E18" i="8" s="1"/>
  <c r="E16" i="8"/>
  <c r="E15" i="8"/>
  <c r="C40" i="8"/>
  <c r="D40" i="8"/>
  <c r="C38" i="8"/>
  <c r="D38" i="8"/>
  <c r="E38" i="8"/>
  <c r="C35" i="8"/>
  <c r="D35" i="8"/>
  <c r="E35" i="8"/>
  <c r="C31" i="8"/>
  <c r="D31" i="8"/>
  <c r="E31" i="8"/>
  <c r="C26" i="8"/>
  <c r="D26" i="8"/>
  <c r="C24" i="8"/>
  <c r="D24" i="8"/>
  <c r="C18" i="8"/>
  <c r="D18" i="8"/>
  <c r="E38" i="7"/>
  <c r="E37" i="7"/>
  <c r="E34" i="7"/>
  <c r="E31" i="7"/>
  <c r="E26" i="7"/>
  <c r="E23" i="7"/>
  <c r="F18" i="5"/>
  <c r="F20" i="6"/>
  <c r="F38" i="7"/>
  <c r="F34" i="7"/>
  <c r="F18" i="6"/>
  <c r="F19" i="5"/>
  <c r="F17" i="6"/>
  <c r="F17" i="5"/>
  <c r="F19" i="6"/>
  <c r="F37" i="7"/>
  <c r="F31" i="7"/>
  <c r="F16" i="5"/>
  <c r="F26" i="7"/>
  <c r="F15" i="5"/>
  <c r="F23" i="7"/>
  <c r="E24" i="8" l="1"/>
  <c r="E26" i="8"/>
  <c r="E40" i="8" s="1"/>
  <c r="E22" i="7" l="1"/>
  <c r="E10" i="5"/>
  <c r="E9" i="5"/>
  <c r="E8" i="5"/>
  <c r="E7" i="5"/>
  <c r="D10" i="5"/>
  <c r="E19" i="7"/>
  <c r="E18" i="7"/>
  <c r="E17" i="7"/>
  <c r="E16" i="7"/>
  <c r="C41" i="7"/>
  <c r="D41" i="7"/>
  <c r="E41" i="7"/>
  <c r="C40" i="7"/>
  <c r="D40" i="7"/>
  <c r="C39" i="7"/>
  <c r="D39" i="7"/>
  <c r="C32" i="7"/>
  <c r="D32" i="7"/>
  <c r="C29" i="7"/>
  <c r="D29" i="7"/>
  <c r="C24" i="7"/>
  <c r="D24" i="7"/>
  <c r="C20" i="7"/>
  <c r="D20" i="7"/>
  <c r="F41" i="7"/>
  <c r="F18" i="7"/>
  <c r="F17" i="7"/>
  <c r="F16" i="7"/>
  <c r="F22" i="7"/>
  <c r="F39" i="7"/>
  <c r="F40" i="7"/>
  <c r="F10" i="5"/>
  <c r="F24" i="7"/>
  <c r="F19" i="7"/>
  <c r="F8" i="5"/>
  <c r="F7" i="5"/>
  <c r="F29" i="7"/>
  <c r="F32" i="7"/>
  <c r="F20" i="7"/>
  <c r="F9" i="5"/>
  <c r="E20" i="7" l="1"/>
  <c r="E24" i="7" s="1"/>
  <c r="E29" i="7" s="1"/>
  <c r="E32" i="7" s="1"/>
  <c r="E40" i="7" s="1"/>
  <c r="E39" i="7" l="1"/>
  <c r="A1" i="7" l="1"/>
  <c r="A1" i="8"/>
  <c r="A1" i="9"/>
  <c r="A1" i="6"/>
  <c r="A1" i="5"/>
  <c r="D34" i="8"/>
  <c r="C34" i="8"/>
  <c r="D30" i="8"/>
  <c r="C30" i="8"/>
  <c r="C11" i="8"/>
  <c r="D28" i="8"/>
  <c r="C28" i="8"/>
  <c r="D22" i="8"/>
  <c r="C22" i="8"/>
  <c r="D17" i="8"/>
  <c r="C17" i="8"/>
  <c r="D16" i="8"/>
  <c r="C16" i="8"/>
  <c r="C12" i="8"/>
  <c r="D11" i="8"/>
  <c r="D7" i="8"/>
  <c r="C7" i="8"/>
  <c r="D4" i="8"/>
  <c r="C4" i="8"/>
  <c r="D27" i="7"/>
  <c r="C27" i="7"/>
  <c r="D26" i="7"/>
  <c r="D9" i="7"/>
  <c r="C26" i="7"/>
  <c r="D23" i="7"/>
  <c r="D8" i="7"/>
  <c r="C23" i="7"/>
  <c r="D19" i="7"/>
  <c r="D7" i="7"/>
  <c r="C19" i="7"/>
  <c r="C7" i="7"/>
  <c r="D17" i="7"/>
  <c r="D5" i="7"/>
  <c r="C17" i="7"/>
  <c r="C6" i="8"/>
  <c r="D13" i="7"/>
  <c r="C13" i="7"/>
  <c r="D12" i="7"/>
  <c r="C12" i="7"/>
  <c r="C9" i="7"/>
  <c r="C8" i="7"/>
  <c r="D6" i="7"/>
  <c r="C6" i="7"/>
  <c r="D4" i="7"/>
  <c r="B26" i="5"/>
  <c r="B25" i="5"/>
  <c r="B24" i="5"/>
  <c r="B23" i="5"/>
  <c r="B22" i="5"/>
  <c r="D4" i="5"/>
  <c r="C4" i="5"/>
  <c r="D5" i="5"/>
  <c r="C5" i="7"/>
  <c r="D10" i="8"/>
  <c r="D6" i="8"/>
  <c r="C10" i="8"/>
  <c r="D12" i="8"/>
  <c r="D10" i="7"/>
  <c r="C10" i="7"/>
  <c r="D11" i="7"/>
  <c r="C11" i="7"/>
</calcChain>
</file>

<file path=xl/comments1.xml><?xml version="1.0" encoding="utf-8"?>
<comments xmlns="http://schemas.openxmlformats.org/spreadsheetml/2006/main">
  <authors>
    <author>eascoli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AMT:
</t>
        </r>
        <r>
          <rPr>
            <sz val="9"/>
            <color indexed="81"/>
            <rFont val="Tahoma"/>
            <family val="2"/>
          </rPr>
          <t>Assumed for training purposes</t>
        </r>
      </text>
    </comment>
  </commentList>
</comments>
</file>

<file path=xl/sharedStrings.xml><?xml version="1.0" encoding="utf-8"?>
<sst xmlns="http://schemas.openxmlformats.org/spreadsheetml/2006/main" count="209" uniqueCount="115">
  <si>
    <t>Hist.</t>
  </si>
  <si>
    <t>Proj.</t>
  </si>
  <si>
    <t>Analyst name</t>
  </si>
  <si>
    <t>Special features</t>
  </si>
  <si>
    <t>Model information</t>
  </si>
  <si>
    <t>Company name</t>
  </si>
  <si>
    <t>Units</t>
  </si>
  <si>
    <t>Circular switch</t>
  </si>
  <si>
    <t>Disclaimer</t>
  </si>
  <si>
    <t>Copyright</t>
  </si>
  <si>
    <t>m</t>
  </si>
  <si>
    <t>Income statement, balance sheet and cash flow</t>
  </si>
  <si>
    <t>Positive / negative presentation income statement</t>
  </si>
  <si>
    <t>Threaded assumptions</t>
  </si>
  <si>
    <t>OWC accounts forecast on percentages</t>
  </si>
  <si>
    <t>Ratios</t>
  </si>
  <si>
    <t>Calcs</t>
  </si>
  <si>
    <t>Property, plant &amp; equipment, net</t>
  </si>
  <si>
    <t>Capital expenditure % of sales</t>
  </si>
  <si>
    <t>Depreciation % of beginning PP&amp;E</t>
  </si>
  <si>
    <t>Beginning balance</t>
  </si>
  <si>
    <t>Capital expenditure</t>
  </si>
  <si>
    <t>Depreciation</t>
  </si>
  <si>
    <t>Ending balance</t>
  </si>
  <si>
    <t>Equity</t>
  </si>
  <si>
    <t>Share issuance / (repurchases)</t>
  </si>
  <si>
    <t>Net income</t>
  </si>
  <si>
    <t>Dividends</t>
  </si>
  <si>
    <t>OWC</t>
  </si>
  <si>
    <t>Debt</t>
  </si>
  <si>
    <t>Assumptions</t>
  </si>
  <si>
    <t>Interest rate on revolver</t>
  </si>
  <si>
    <t>Interest rate on long-term debt</t>
  </si>
  <si>
    <t>Interest rate on cash</t>
  </si>
  <si>
    <t>Issuance of long-term debt</t>
  </si>
  <si>
    <t>Repayment of long-term debt</t>
  </si>
  <si>
    <t>Revolver</t>
  </si>
  <si>
    <t>Balance</t>
  </si>
  <si>
    <t>Interest rate</t>
  </si>
  <si>
    <t>Interest expense</t>
  </si>
  <si>
    <t>Long-term debt</t>
  </si>
  <si>
    <t>Issuance</t>
  </si>
  <si>
    <t>Repayment</t>
  </si>
  <si>
    <t>Debt summary</t>
  </si>
  <si>
    <t>Total debt</t>
  </si>
  <si>
    <t>Total interest expense</t>
  </si>
  <si>
    <t>Interest income</t>
  </si>
  <si>
    <t>Excess cash</t>
  </si>
  <si>
    <t>Revenue growth</t>
  </si>
  <si>
    <t>Cost of sales % of sales</t>
  </si>
  <si>
    <t>Distribution costs % of sales</t>
  </si>
  <si>
    <t>Administration expenses % of sales</t>
  </si>
  <si>
    <t>Amortization amount</t>
  </si>
  <si>
    <t>Non-recurring items amount</t>
  </si>
  <si>
    <t>Tax rate</t>
  </si>
  <si>
    <t>Dividend payout ratio</t>
  </si>
  <si>
    <t>Basic WASO</t>
  </si>
  <si>
    <t>Diluted WASO</t>
  </si>
  <si>
    <t>Income statement</t>
  </si>
  <si>
    <t>Revenue</t>
  </si>
  <si>
    <t>Cost of sales</t>
  </si>
  <si>
    <t>Distribution costs</t>
  </si>
  <si>
    <t>Administration expenses</t>
  </si>
  <si>
    <t>EBITDA</t>
  </si>
  <si>
    <t>Amortization</t>
  </si>
  <si>
    <t>EBIT</t>
  </si>
  <si>
    <t>Non-recurring items</t>
  </si>
  <si>
    <t>Profit before tax</t>
  </si>
  <si>
    <t>Tax expense</t>
  </si>
  <si>
    <t>Shareholder information</t>
  </si>
  <si>
    <t>Basic EPS</t>
  </si>
  <si>
    <t>Diluted EPS</t>
  </si>
  <si>
    <t>Dividend per share</t>
  </si>
  <si>
    <t>Other long-term assets % of sales</t>
  </si>
  <si>
    <t>Inventories % of COGS</t>
  </si>
  <si>
    <t>Receivables % of sales</t>
  </si>
  <si>
    <t>Operating cash % of sales</t>
  </si>
  <si>
    <t>Payables % of COGS</t>
  </si>
  <si>
    <t>Other current liabilities % of sales</t>
  </si>
  <si>
    <t>Other long-term liabilities % of sales</t>
  </si>
  <si>
    <t>Balance sheet</t>
  </si>
  <si>
    <t>Intangible assets</t>
  </si>
  <si>
    <t>Property, plant &amp; equipment</t>
  </si>
  <si>
    <t>Other long-term assets</t>
  </si>
  <si>
    <t>Total non-current assets</t>
  </si>
  <si>
    <t>Inventories</t>
  </si>
  <si>
    <t>Trade and other receivables</t>
  </si>
  <si>
    <t>Operating cash</t>
  </si>
  <si>
    <t>Total current assets</t>
  </si>
  <si>
    <t>TOTAL ASSETS</t>
  </si>
  <si>
    <t>Trade and other payables</t>
  </si>
  <si>
    <t>Other current liabilities</t>
  </si>
  <si>
    <t>Total current liabilities</t>
  </si>
  <si>
    <t>Other long-term liabilities</t>
  </si>
  <si>
    <t>Total non-current liabilities</t>
  </si>
  <si>
    <t>TOTAL LIABILITIES &amp; EQUITY</t>
  </si>
  <si>
    <t>Balance check</t>
  </si>
  <si>
    <t>BS</t>
  </si>
  <si>
    <t>IS</t>
  </si>
  <si>
    <t>CFS</t>
  </si>
  <si>
    <t>Company 1</t>
  </si>
  <si>
    <t>Year 1</t>
  </si>
  <si>
    <t>Year 2</t>
  </si>
  <si>
    <t>Year 3</t>
  </si>
  <si>
    <t>Year 4</t>
  </si>
  <si>
    <t>Year 5</t>
  </si>
  <si>
    <t>Year -1</t>
  </si>
  <si>
    <t>Year 0</t>
  </si>
  <si>
    <t>Financial Modeling Fundamentals</t>
  </si>
  <si>
    <t>Modeling Training</t>
  </si>
  <si>
    <t>Excess cash, operating cash and revolver</t>
  </si>
  <si>
    <t>O</t>
  </si>
  <si>
    <t>O, I</t>
  </si>
  <si>
    <t>F</t>
  </si>
  <si>
    <t>O, F,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</si>
</sst>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#,##0.0_);\(#,##0.0\);0.0_);@_)"/>
    <numFmt numFmtId="169" formatCode="#,##0.0_);\(#,##0.0\)"/>
    <numFmt numFmtId="170" formatCode="[$-409]d\-mmm\-yy;@"/>
    <numFmt numFmtId="171" formatCode="0.0%_);\(0.0%\)"/>
    <numFmt numFmtId="172" formatCode="#,##0.00_)\x;\(#,##0.00\)\x"/>
    <numFmt numFmtId="173" formatCode="&quot;Yes&quot;;;&quot;No&quot;"/>
    <numFmt numFmtId="174" formatCode="#,##0.00_);\(#,##0.00\);0.00_);@_)"/>
    <numFmt numFmtId="175" formatCode=";;;"/>
  </numFmts>
  <fonts count="39" x14ac:knownFonts="1"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24"/>
      <color rgb="FF006100"/>
      <name val="Arial"/>
      <family val="2"/>
    </font>
    <font>
      <sz val="24"/>
      <color rgb="FF9C0006"/>
      <name val="Arial"/>
      <family val="2"/>
    </font>
    <font>
      <sz val="24"/>
      <color rgb="FF9C6500"/>
      <name val="Arial"/>
      <family val="2"/>
    </font>
    <font>
      <b/>
      <sz val="24"/>
      <color rgb="FF3F3F3F"/>
      <name val="Arial"/>
      <family val="2"/>
    </font>
    <font>
      <b/>
      <sz val="24"/>
      <color rgb="FFFA7D00"/>
      <name val="Arial"/>
      <family val="2"/>
    </font>
    <font>
      <sz val="24"/>
      <color rgb="FFFA7D00"/>
      <name val="Arial"/>
      <family val="2"/>
    </font>
    <font>
      <b/>
      <sz val="24"/>
      <color theme="0"/>
      <name val="Arial"/>
      <family val="2"/>
    </font>
    <font>
      <sz val="24"/>
      <color rgb="FFFF0000"/>
      <name val="Arial"/>
      <family val="2"/>
    </font>
    <font>
      <i/>
      <sz val="24"/>
      <color rgb="FF7F7F7F"/>
      <name val="Arial"/>
      <family val="2"/>
    </font>
    <font>
      <b/>
      <sz val="24"/>
      <color theme="1"/>
      <name val="Arial"/>
      <family val="2"/>
    </font>
    <font>
      <sz val="24"/>
      <color theme="0"/>
      <name val="Arial"/>
      <family val="2"/>
    </font>
    <font>
      <sz val="24"/>
      <color theme="1"/>
      <name val="Arial"/>
      <family val="2"/>
    </font>
    <font>
      <u/>
      <sz val="10"/>
      <color theme="11"/>
      <name val="Arial"/>
      <family val="2"/>
    </font>
    <font>
      <sz val="10"/>
      <color rgb="FF0000FF"/>
      <name val="Arial"/>
      <family val="2"/>
    </font>
    <font>
      <sz val="10"/>
      <color indexed="6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12"/>
      <name val="Arial"/>
      <family val="2"/>
    </font>
    <font>
      <b/>
      <sz val="12"/>
      <color rgb="FF0000FF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2"/>
      <name val="Arial"/>
      <family val="2"/>
    </font>
    <font>
      <b/>
      <sz val="24"/>
      <color rgb="FF0000FF"/>
      <name val="Arial"/>
      <family val="2"/>
    </font>
    <font>
      <b/>
      <sz val="23"/>
      <color rgb="FF0000FF"/>
      <name val="Arial"/>
      <family val="2"/>
    </font>
    <font>
      <b/>
      <sz val="14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sz val="11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2"/>
      </bottom>
      <diagonal/>
    </border>
  </borders>
  <cellStyleXfs count="60">
    <xf numFmtId="169" fontId="0" fillId="0" borderId="0"/>
    <xf numFmtId="15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9" fontId="21" fillId="33" borderId="1" applyNumberFormat="0" applyAlignment="0" applyProtection="0"/>
    <xf numFmtId="17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5" borderId="6" applyNumberFormat="0" applyAlignment="0" applyProtection="0"/>
    <xf numFmtId="0" fontId="13" fillId="0" borderId="7" applyNumberFormat="0" applyFill="0" applyAlignment="0" applyProtection="0"/>
    <xf numFmtId="0" fontId="14" fillId="6" borderId="8" applyNumberFormat="0" applyAlignment="0" applyProtection="0"/>
    <xf numFmtId="0" fontId="15" fillId="0" borderId="0" applyNumberFormat="0" applyFill="0" applyBorder="0" applyAlignment="0" applyProtection="0"/>
    <xf numFmtId="0" fontId="1" fillId="7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8" fillId="31" borderId="0" applyNumberFormat="0" applyBorder="0" applyAlignment="0" applyProtection="0"/>
    <xf numFmtId="168" fontId="20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28" fillId="0" borderId="11" applyNumberFormat="0" applyAlignment="0" applyProtection="0"/>
    <xf numFmtId="169" fontId="29" fillId="32" borderId="0" applyNumberFormat="0" applyBorder="0" applyProtection="0">
      <alignment horizontal="left" vertical="center"/>
    </xf>
    <xf numFmtId="169" fontId="31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171" fontId="21" fillId="33" borderId="1" applyAlignment="0" applyProtection="0"/>
    <xf numFmtId="171" fontId="21" fillId="34" borderId="1" applyNumberFormat="0" applyFill="0" applyBorder="0" applyAlignment="0" applyProtection="0"/>
    <xf numFmtId="175" fontId="1" fillId="0" borderId="0"/>
    <xf numFmtId="169" fontId="30" fillId="32" borderId="0" applyBorder="0" applyProtection="0">
      <alignment horizontal="left" vertical="center"/>
    </xf>
    <xf numFmtId="169" fontId="32" fillId="0" borderId="0" applyNumberFormat="0" applyFill="0" applyBorder="0" applyProtection="0">
      <alignment horizontal="left"/>
    </xf>
  </cellStyleXfs>
  <cellXfs count="30">
    <xf numFmtId="169" fontId="0" fillId="0" borderId="0" xfId="0"/>
    <xf numFmtId="169" fontId="22" fillId="0" borderId="0" xfId="0" applyFont="1" applyBorder="1"/>
    <xf numFmtId="169" fontId="23" fillId="0" borderId="0" xfId="0" applyFont="1"/>
    <xf numFmtId="171" fontId="0" fillId="0" borderId="0" xfId="4" applyFont="1"/>
    <xf numFmtId="169" fontId="24" fillId="0" borderId="0" xfId="0" applyFont="1"/>
    <xf numFmtId="169" fontId="33" fillId="0" borderId="0" xfId="0" applyFont="1" applyBorder="1"/>
    <xf numFmtId="169" fontId="34" fillId="0" borderId="0" xfId="0" applyFont="1" applyBorder="1"/>
    <xf numFmtId="37" fontId="35" fillId="0" borderId="0" xfId="0" applyNumberFormat="1" applyFont="1" applyBorder="1" applyAlignment="1">
      <alignment horizontal="center"/>
    </xf>
    <xf numFmtId="169" fontId="36" fillId="0" borderId="0" xfId="0" applyFont="1"/>
    <xf numFmtId="37" fontId="28" fillId="0" borderId="11" xfId="51" applyNumberFormat="1" applyFont="1"/>
    <xf numFmtId="169" fontId="28" fillId="0" borderId="11" xfId="51" applyFont="1"/>
    <xf numFmtId="15" fontId="28" fillId="0" borderId="11" xfId="51" applyNumberFormat="1" applyFont="1" applyAlignment="1">
      <alignment horizontal="center"/>
    </xf>
    <xf numFmtId="169" fontId="29" fillId="32" borderId="0" xfId="52" applyFont="1">
      <alignment horizontal="left" vertical="center"/>
    </xf>
    <xf numFmtId="169" fontId="0" fillId="0" borderId="0" xfId="0" applyFont="1"/>
    <xf numFmtId="169" fontId="21" fillId="33" borderId="1" xfId="3" applyFont="1" applyAlignment="1">
      <alignment horizontal="center"/>
    </xf>
    <xf numFmtId="168" fontId="37" fillId="0" borderId="0" xfId="51" applyNumberFormat="1" applyFont="1" applyFill="1" applyBorder="1"/>
    <xf numFmtId="168" fontId="38" fillId="0" borderId="0" xfId="51" applyNumberFormat="1" applyFont="1" applyFill="1" applyBorder="1" applyAlignment="1">
      <alignment horizontal="center"/>
    </xf>
    <xf numFmtId="169" fontId="0" fillId="0" borderId="0" xfId="0" applyFont="1"/>
    <xf numFmtId="37" fontId="37" fillId="0" borderId="11" xfId="51" applyNumberFormat="1" applyFont="1"/>
    <xf numFmtId="168" fontId="37" fillId="0" borderId="11" xfId="51" applyNumberFormat="1" applyFont="1" applyFill="1"/>
    <xf numFmtId="170" fontId="38" fillId="0" borderId="11" xfId="51" applyNumberFormat="1" applyFont="1" applyFill="1" applyAlignment="1">
      <alignment horizontal="center" vertical="center"/>
    </xf>
    <xf numFmtId="168" fontId="31" fillId="0" borderId="0" xfId="53" applyNumberFormat="1" applyFont="1"/>
    <xf numFmtId="171" fontId="21" fillId="33" borderId="1" xfId="3" applyNumberFormat="1" applyFont="1"/>
    <xf numFmtId="171" fontId="21" fillId="0" borderId="0" xfId="56" applyNumberFormat="1" applyFont="1" applyFill="1" applyBorder="1"/>
    <xf numFmtId="168" fontId="21" fillId="0" borderId="0" xfId="56" applyNumberFormat="1" applyFont="1" applyFill="1" applyBorder="1"/>
    <xf numFmtId="168" fontId="27" fillId="0" borderId="0" xfId="56" applyNumberFormat="1" applyFont="1" applyFill="1" applyBorder="1"/>
    <xf numFmtId="168" fontId="21" fillId="33" borderId="1" xfId="3" applyNumberFormat="1" applyFont="1"/>
    <xf numFmtId="174" fontId="0" fillId="0" borderId="0" xfId="0" applyNumberFormat="1" applyFont="1"/>
    <xf numFmtId="171" fontId="21" fillId="33" borderId="1" xfId="55" applyFont="1"/>
    <xf numFmtId="169" fontId="0" fillId="35" borderId="0" xfId="0" applyFont="1" applyFill="1"/>
  </cellXfs>
  <cellStyles count="60">
    <cellStyle name="20% - Accent1" xfId="22" builtinId="30" hidden="1"/>
    <cellStyle name="20% - Accent2" xfId="26" builtinId="34" hidden="1"/>
    <cellStyle name="20% - Accent3" xfId="30" builtinId="38" hidden="1"/>
    <cellStyle name="20% - Accent4" xfId="34" builtinId="42" hidden="1"/>
    <cellStyle name="20% - Accent5" xfId="38" builtinId="46" hidden="1"/>
    <cellStyle name="20% - Accent6" xfId="42" builtinId="50" hidden="1"/>
    <cellStyle name="40% - Accent1" xfId="23" builtinId="31" hidden="1"/>
    <cellStyle name="40% - Accent2" xfId="27" builtinId="35" hidden="1"/>
    <cellStyle name="40% - Accent3" xfId="31" builtinId="39" hidden="1"/>
    <cellStyle name="40% - Accent4" xfId="35" builtinId="43" hidden="1"/>
    <cellStyle name="40% - Accent5" xfId="39" builtinId="47" hidden="1"/>
    <cellStyle name="40% - Accent6" xfId="43" builtinId="51" hidden="1"/>
    <cellStyle name="60% - Accent1" xfId="24" builtinId="32" hidden="1"/>
    <cellStyle name="60% - Accent2" xfId="28" builtinId="36" hidden="1"/>
    <cellStyle name="60% - Accent3" xfId="32" builtinId="40" hidden="1"/>
    <cellStyle name="60% - Accent4" xfId="36" builtinId="44" hidden="1"/>
    <cellStyle name="60% - Accent5" xfId="40" builtinId="48" hidden="1"/>
    <cellStyle name="60% - Accent6" xfId="44" builtinId="52" hidden="1"/>
    <cellStyle name="Accent1" xfId="21" builtinId="29" hidden="1"/>
    <cellStyle name="Accent2" xfId="25" builtinId="33" hidden="1"/>
    <cellStyle name="Accent3" xfId="29" builtinId="37" hidden="1"/>
    <cellStyle name="Accent4" xfId="33" builtinId="41" hidden="1"/>
    <cellStyle name="Accent5" xfId="37" builtinId="45" hidden="1"/>
    <cellStyle name="Accent6" xfId="41" builtinId="49" hidden="1"/>
    <cellStyle name="Bad" xfId="11" builtinId="27" hidden="1"/>
    <cellStyle name="Blank" xfId="57"/>
    <cellStyle name="Blue" xfId="56"/>
    <cellStyle name="Calculation" xfId="14" builtinId="22" hidden="1"/>
    <cellStyle name="Check Cell" xfId="16" builtinId="23" hidden="1"/>
    <cellStyle name="Comma" xfId="46" builtinId="3" hidden="1"/>
    <cellStyle name="Comma [0]" xfId="47" builtinId="6" hidden="1"/>
    <cellStyle name="Currency" xfId="48" builtinId="4" hidden="1"/>
    <cellStyle name="Currency [0]" xfId="49" builtinId="7" hidden="1"/>
    <cellStyle name="Date" xfId="1"/>
    <cellStyle name="Explanatory Text" xfId="19" builtinId="53" hidden="1"/>
    <cellStyle name="Followed Hyperlink" xfId="45" builtinId="9" hidden="1"/>
    <cellStyle name="Good" xfId="10" builtinId="26" hidden="1"/>
    <cellStyle name="Header" xfId="5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" builtinId="8" hidden="1"/>
    <cellStyle name="Input" xfId="3" builtinId="20" customBuiltin="1"/>
    <cellStyle name="Input %" xfId="55"/>
    <cellStyle name="Linked Cell" xfId="15" builtinId="24" hidden="1"/>
    <cellStyle name="Multiple" xfId="50"/>
    <cellStyle name="Neutral" xfId="12" builtinId="28" hidden="1"/>
    <cellStyle name="Normal" xfId="0" builtinId="0" customBuiltin="1"/>
    <cellStyle name="Note" xfId="18" builtinId="10" hidden="1"/>
    <cellStyle name="Output" xfId="13" builtinId="21" hidden="1"/>
    <cellStyle name="Percent" xfId="4" builtinId="5" customBuiltin="1"/>
    <cellStyle name="SubHeader" xfId="52"/>
    <cellStyle name="SubHeader 2" xfId="58"/>
    <cellStyle name="SubHeader2" xfId="53"/>
    <cellStyle name="SuperHeader" xfId="59"/>
    <cellStyle name="Title" xfId="5" builtinId="15" hidden="1"/>
    <cellStyle name="Total" xfId="20" builtinId="25" hidden="1"/>
    <cellStyle name="Warning Text" xfId="17" builtinId="11" hidden="1"/>
    <cellStyle name="YesNo" xfId="54"/>
  </cellStyles>
  <dxfs count="2">
    <dxf>
      <font>
        <b/>
        <i val="0"/>
        <color rgb="FF0000FF"/>
      </font>
    </dxf>
    <dxf>
      <font>
        <b/>
        <i val="0"/>
        <color rgb="FF0500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E00"/>
      <rgbColor rgb="00000080"/>
      <rgbColor rgb="00808000"/>
      <rgbColor rgb="00800080"/>
      <rgbColor rgb="00008080"/>
      <rgbColor rgb="00C0C0C0"/>
      <rgbColor rgb="00808080"/>
      <rgbColor rgb="00EAFFDF"/>
      <rgbColor rgb="00993366"/>
      <rgbColor rgb="00FFFFCB"/>
      <rgbColor rgb="00E3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E1E1"/>
      <color rgb="FF0500FF"/>
      <color rgb="FF0000FF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14145</xdr:rowOff>
    </xdr:from>
    <xdr:to>
      <xdr:col>9</xdr:col>
      <xdr:colOff>726163</xdr:colOff>
      <xdr:row>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C79B3ECB-B9BE-44B5-9E8B-90A774F02121}"/>
            </a:ext>
          </a:extLst>
        </xdr:cNvPr>
        <xdr:cNvSpPr>
          <a:spLocks noChangeArrowheads="1"/>
        </xdr:cNvSpPr>
      </xdr:nvSpPr>
      <xdr:spPr bwMode="auto">
        <a:xfrm>
          <a:off x="2366963" y="5519595"/>
          <a:ext cx="7474625" cy="9001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For Training Purposes Only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© AMT Training Ltd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All rights reserved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www.amttraining.com</a:t>
          </a:r>
        </a:p>
      </xdr:txBody>
    </xdr:sp>
    <xdr:clientData/>
  </xdr:twoCellAnchor>
  <xdr:twoCellAnchor>
    <xdr:from>
      <xdr:col>2</xdr:col>
      <xdr:colOff>0</xdr:colOff>
      <xdr:row>24</xdr:row>
      <xdr:rowOff>14145</xdr:rowOff>
    </xdr:from>
    <xdr:to>
      <xdr:col>9</xdr:col>
      <xdr:colOff>726163</xdr:colOff>
      <xdr:row>28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7C0CFCC6-5690-4E4C-B453-0997B3D77F6E}"/>
            </a:ext>
          </a:extLst>
        </xdr:cNvPr>
        <xdr:cNvSpPr>
          <a:spLocks noChangeArrowheads="1"/>
        </xdr:cNvSpPr>
      </xdr:nvSpPr>
      <xdr:spPr bwMode="auto">
        <a:xfrm>
          <a:off x="2366963" y="4386120"/>
          <a:ext cx="7474625" cy="7097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The use of this model is intended solely as a learning aid for participants in AMT's training programs or academic courses.  </a:t>
          </a:r>
          <a:b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</a:b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AMT assumes no responsibility or liability whatsoever, to the client or to any third party, for any other use or purpose.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chemeClr val="accent2">
                <a:lumMod val="75000"/>
              </a:schemeClr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WARNING!  You may not be able to perform some normal Excel operations in this file. It may be protected against certain actions. </a:t>
          </a:r>
        </a:p>
      </xdr:txBody>
    </xdr:sp>
    <xdr:clientData/>
  </xdr:twoCellAnchor>
  <xdr:twoCellAnchor editAs="oneCell">
    <xdr:from>
      <xdr:col>0</xdr:col>
      <xdr:colOff>106098</xdr:colOff>
      <xdr:row>30</xdr:row>
      <xdr:rowOff>147646</xdr:rowOff>
    </xdr:from>
    <xdr:to>
      <xdr:col>1</xdr:col>
      <xdr:colOff>2066876</xdr:colOff>
      <xdr:row>33</xdr:row>
      <xdr:rowOff>80011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33F7785-413F-470D-9916-65495FB10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98" y="5653096"/>
          <a:ext cx="2132228" cy="452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MT Training">
      <a:dk1>
        <a:srgbClr val="000000"/>
      </a:dk1>
      <a:lt1>
        <a:sysClr val="window" lastClr="FFFFFF"/>
      </a:lt1>
      <a:dk2>
        <a:srgbClr val="46484C"/>
      </a:dk2>
      <a:lt2>
        <a:srgbClr val="65686D"/>
      </a:lt2>
      <a:accent1>
        <a:srgbClr val="AFD7FF"/>
      </a:accent1>
      <a:accent2>
        <a:srgbClr val="007BEA"/>
      </a:accent2>
      <a:accent3>
        <a:srgbClr val="64E8C8"/>
      </a:accent3>
      <a:accent4>
        <a:srgbClr val="6DB9FF"/>
      </a:accent4>
      <a:accent5>
        <a:srgbClr val="C5D2D5"/>
      </a:accent5>
      <a:accent6>
        <a:srgbClr val="FFFFA0"/>
      </a:accent6>
      <a:hlink>
        <a:srgbClr val="00B050"/>
      </a:hlink>
      <a:folHlink>
        <a:srgbClr val="D2001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0"/>
  <sheetViews>
    <sheetView showGridLines="0" zoomScale="150" zoomScaleNormal="150" workbookViewId="0"/>
  </sheetViews>
  <sheetFormatPr defaultColWidth="9.109375" defaultRowHeight="13.8" x14ac:dyDescent="0.25"/>
  <cols>
    <col min="1" max="1" width="2.44140625" style="8" customWidth="1"/>
    <col min="2" max="2" width="30.6640625" style="8" customWidth="1"/>
    <col min="3" max="3" width="13.44140625" style="8" customWidth="1"/>
    <col min="4" max="4" width="14.109375" style="8" customWidth="1"/>
    <col min="5" max="14" width="13.44140625" style="8" customWidth="1"/>
    <col min="15" max="15" width="13.109375" style="8" customWidth="1"/>
    <col min="16" max="16" width="12.6640625" style="8" customWidth="1"/>
    <col min="17" max="17" width="13.109375" style="8" customWidth="1"/>
    <col min="18" max="16384" width="9.109375" style="8"/>
  </cols>
  <sheetData>
    <row r="1" spans="1:15" ht="28.8" x14ac:dyDescent="0.5">
      <c r="A1" s="5" t="s">
        <v>108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6.2" thickBot="1" x14ac:dyDescent="0.35">
      <c r="A2" s="9" t="s">
        <v>109</v>
      </c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4.4" thickTop="1" x14ac:dyDescent="0.25"/>
    <row r="4" spans="1:15" ht="15.6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13" customFormat="1" ht="13.2" x14ac:dyDescent="0.25"/>
    <row r="6" spans="1:15" s="13" customFormat="1" ht="13.2" x14ac:dyDescent="0.25">
      <c r="B6" s="1" t="s">
        <v>11</v>
      </c>
    </row>
    <row r="7" spans="1:15" s="13" customFormat="1" ht="13.2" x14ac:dyDescent="0.25">
      <c r="B7" s="1" t="s">
        <v>12</v>
      </c>
    </row>
    <row r="8" spans="1:15" s="13" customFormat="1" ht="13.2" x14ac:dyDescent="0.25">
      <c r="B8" s="1" t="s">
        <v>13</v>
      </c>
    </row>
    <row r="9" spans="1:15" s="13" customFormat="1" ht="13.2" x14ac:dyDescent="0.25">
      <c r="B9" s="1" t="s">
        <v>110</v>
      </c>
    </row>
    <row r="10" spans="1:15" s="13" customFormat="1" ht="13.2" x14ac:dyDescent="0.25">
      <c r="B10" s="1" t="s">
        <v>14</v>
      </c>
    </row>
    <row r="11" spans="1:15" s="13" customFormat="1" ht="13.2" x14ac:dyDescent="0.25">
      <c r="B11" s="1" t="s">
        <v>15</v>
      </c>
    </row>
    <row r="12" spans="1:15" s="13" customFormat="1" ht="13.2" x14ac:dyDescent="0.25"/>
    <row r="13" spans="1:15" s="13" customFormat="1" ht="13.2" x14ac:dyDescent="0.25"/>
    <row r="14" spans="1:15" s="13" customFormat="1" ht="13.2" x14ac:dyDescent="0.25"/>
    <row r="15" spans="1:15" s="13" customFormat="1" ht="13.2" x14ac:dyDescent="0.25"/>
    <row r="16" spans="1:15" s="13" customFormat="1" ht="13.2" x14ac:dyDescent="0.25"/>
    <row r="17" spans="1:15" ht="15.6" x14ac:dyDescent="0.25">
      <c r="A17" s="12" t="s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9" spans="1:15" x14ac:dyDescent="0.25">
      <c r="B19" s="13" t="s">
        <v>5</v>
      </c>
      <c r="C19" s="14" t="s">
        <v>100</v>
      </c>
    </row>
    <row r="20" spans="1:15" x14ac:dyDescent="0.25">
      <c r="B20" s="13" t="s">
        <v>6</v>
      </c>
      <c r="C20" s="14" t="s">
        <v>10</v>
      </c>
    </row>
    <row r="21" spans="1:15" x14ac:dyDescent="0.25">
      <c r="B21" s="13" t="s">
        <v>2</v>
      </c>
      <c r="C21" s="14" t="s">
        <v>2</v>
      </c>
    </row>
    <row r="22" spans="1:15" x14ac:dyDescent="0.25">
      <c r="B22" s="13" t="s">
        <v>7</v>
      </c>
      <c r="C22" s="14">
        <v>0</v>
      </c>
    </row>
    <row r="24" spans="1:15" ht="15.6" x14ac:dyDescent="0.25">
      <c r="A24" s="12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30" spans="1:15" ht="15.6" x14ac:dyDescent="0.25">
      <c r="A30" s="12" t="s">
        <v>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</sheetData>
  <conditionalFormatting sqref="B12:B14">
    <cfRule type="expression" dxfId="1" priority="1">
      <formula>$B12=#REF!</formula>
    </cfRule>
  </conditionalFormatting>
  <conditionalFormatting sqref="B7:B9">
    <cfRule type="expression" dxfId="0" priority="4">
      <formula>$B7=#REF!</formula>
    </cfRule>
  </conditionalFormatting>
  <pageMargins left="0.74803149606299213" right="0.74803149606299213" top="0.98425196850393704" bottom="0.98425196850393704" header="0.51181102362204722" footer="0.51181102362204722"/>
  <pageSetup paperSize="9" scale="63" fitToHeight="4" orientation="landscape" horizontalDpi="4294967292" r:id="rId1"/>
  <headerFooter alignWithMargins="0">
    <oddHeader>&amp;L&amp;F &amp;A</oddHeader>
    <oddFooter>&amp;L© Adkins Matchett &amp; Toy 2017&amp;R 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="150" zoomScaleNormal="150" workbookViewId="0">
      <pane ySplit="2" topLeftCell="A3" activePane="bottomLeft" state="frozen"/>
      <selection pane="bottomLeft" activeCell="E19" sqref="E19"/>
    </sheetView>
  </sheetViews>
  <sheetFormatPr defaultRowHeight="13.2" x14ac:dyDescent="0.25"/>
  <cols>
    <col min="1" max="1" width="1.6640625" style="17" customWidth="1"/>
    <col min="2" max="2" width="40.6640625" style="17" customWidth="1"/>
    <col min="3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11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  <c r="J1" s="16"/>
      <c r="K1" s="16"/>
    </row>
    <row r="2" spans="1:11" ht="18" thickBot="1" x14ac:dyDescent="0.35">
      <c r="A2" s="18" t="s">
        <v>16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  <c r="J2" s="20"/>
      <c r="K2" s="20"/>
    </row>
    <row r="3" spans="1:11" ht="13.8" thickTop="1" x14ac:dyDescent="0.25">
      <c r="A3" s="21" t="s">
        <v>17</v>
      </c>
    </row>
    <row r="4" spans="1:11" x14ac:dyDescent="0.25">
      <c r="B4" s="17" t="s">
        <v>18</v>
      </c>
      <c r="C4" s="3">
        <f>+C8/IncStat!C16</f>
        <v>6.0959319975713418E-2</v>
      </c>
      <c r="D4" s="3">
        <f>+D8/IncStat!D16</f>
        <v>5.8887088060507832E-2</v>
      </c>
      <c r="E4" s="28">
        <v>0.06</v>
      </c>
      <c r="F4" s="28">
        <v>0.06</v>
      </c>
      <c r="G4" s="28">
        <v>0.06</v>
      </c>
      <c r="H4" s="28">
        <v>0.06</v>
      </c>
      <c r="I4" s="28">
        <v>0.06</v>
      </c>
    </row>
    <row r="5" spans="1:11" x14ac:dyDescent="0.25">
      <c r="B5" s="17" t="s">
        <v>19</v>
      </c>
      <c r="D5" s="3">
        <f>-IncStat!D22/BalSheet!C16</f>
        <v>8.6463923673226001E-2</v>
      </c>
      <c r="E5" s="28">
        <v>8.8999999999999996E-2</v>
      </c>
      <c r="F5" s="28">
        <v>8.8999999999999996E-2</v>
      </c>
      <c r="G5" s="28">
        <v>8.8999999999999996E-2</v>
      </c>
      <c r="H5" s="28">
        <v>8.8999999999999996E-2</v>
      </c>
      <c r="I5" s="28">
        <v>8.8999999999999996E-2</v>
      </c>
    </row>
    <row r="7" spans="1:11" x14ac:dyDescent="0.25">
      <c r="B7" s="17" t="s">
        <v>20</v>
      </c>
      <c r="C7" s="24"/>
      <c r="E7" s="17">
        <f>D10</f>
        <v>13531</v>
      </c>
      <c r="F7" s="17" t="str">
        <f ca="1">_xlfn.FORMULATEXT(E7)</f>
        <v>=D10</v>
      </c>
    </row>
    <row r="8" spans="1:11" x14ac:dyDescent="0.25">
      <c r="B8" s="17" t="s">
        <v>21</v>
      </c>
      <c r="C8" s="24">
        <v>1757</v>
      </c>
      <c r="D8" s="24">
        <v>1907.5</v>
      </c>
      <c r="E8" s="17">
        <f>E4*IncStat!E16</f>
        <v>2112.6388499999998</v>
      </c>
      <c r="F8" s="17" t="str">
        <f ca="1">_xlfn.FORMULATEXT(E8)</f>
        <v>=E4*IncStat!E16</v>
      </c>
    </row>
    <row r="9" spans="1:11" x14ac:dyDescent="0.25">
      <c r="B9" s="17" t="s">
        <v>22</v>
      </c>
      <c r="E9" s="17">
        <f>-E5*E7</f>
        <v>-1204.259</v>
      </c>
      <c r="F9" s="17" t="str">
        <f ca="1">_xlfn.FORMULATEXT(E9)</f>
        <v>=-E5*E7</v>
      </c>
    </row>
    <row r="10" spans="1:11" x14ac:dyDescent="0.25">
      <c r="B10" s="17" t="s">
        <v>23</v>
      </c>
      <c r="D10" s="17">
        <f>BalSheet!D16</f>
        <v>13531</v>
      </c>
      <c r="E10" s="17">
        <f>SUM(E7:E9)</f>
        <v>14439.379849999999</v>
      </c>
      <c r="F10" s="17" t="str">
        <f ca="1">_xlfn.FORMULATEXT(E10)</f>
        <v>=SUM(E7:E9)</v>
      </c>
    </row>
    <row r="12" spans="1:11" x14ac:dyDescent="0.25">
      <c r="A12" s="21" t="s">
        <v>24</v>
      </c>
    </row>
    <row r="13" spans="1:11" x14ac:dyDescent="0.25">
      <c r="B13" s="17" t="s">
        <v>25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</row>
    <row r="15" spans="1:11" x14ac:dyDescent="0.25">
      <c r="B15" s="17" t="s">
        <v>20</v>
      </c>
      <c r="E15" s="17">
        <f>D19</f>
        <v>17766</v>
      </c>
      <c r="F15" s="17" t="str">
        <f ca="1">_xlfn.FORMULATEXT(E15)</f>
        <v>=D19</v>
      </c>
    </row>
    <row r="16" spans="1:11" x14ac:dyDescent="0.25">
      <c r="B16" s="17" t="s">
        <v>26</v>
      </c>
      <c r="E16" s="17">
        <f>IncStat!E32</f>
        <v>1910.5990968749995</v>
      </c>
      <c r="F16" s="17" t="str">
        <f ca="1">_xlfn.FORMULATEXT(E16)</f>
        <v>=IncStat!E32</v>
      </c>
    </row>
    <row r="17" spans="1:14" x14ac:dyDescent="0.25">
      <c r="B17" s="17" t="s">
        <v>27</v>
      </c>
      <c r="E17" s="17">
        <f>IncStat!E34</f>
        <v>-802.45162068749983</v>
      </c>
      <c r="F17" s="17" t="str">
        <f ca="1">_xlfn.FORMULATEXT(E17)</f>
        <v>=IncStat!E34</v>
      </c>
    </row>
    <row r="18" spans="1:14" x14ac:dyDescent="0.25">
      <c r="B18" s="17" t="s">
        <v>25</v>
      </c>
      <c r="E18" s="17">
        <f>E13</f>
        <v>0</v>
      </c>
      <c r="F18" s="17" t="str">
        <f ca="1">_xlfn.FORMULATEXT(E18)</f>
        <v>=E13</v>
      </c>
    </row>
    <row r="19" spans="1:14" x14ac:dyDescent="0.25">
      <c r="B19" s="17" t="s">
        <v>23</v>
      </c>
      <c r="D19" s="17">
        <f>BalSheet!D37</f>
        <v>17766</v>
      </c>
      <c r="E19" s="17">
        <f>SUM(E15:E18)</f>
        <v>18874.1474761875</v>
      </c>
      <c r="F19" s="17" t="str">
        <f ca="1">_xlfn.FORMULATEXT(E19)</f>
        <v>=SUM(E15:E18)</v>
      </c>
    </row>
    <row r="21" spans="1:14" x14ac:dyDescent="0.25">
      <c r="A21" s="21" t="s">
        <v>28</v>
      </c>
    </row>
    <row r="22" spans="1:14" x14ac:dyDescent="0.25">
      <c r="B22" s="17" t="str">
        <f>+BalSheet!B20</f>
        <v>Inventories</v>
      </c>
    </row>
    <row r="23" spans="1:14" x14ac:dyDescent="0.25">
      <c r="B23" s="17" t="str">
        <f>+BalSheet!B21</f>
        <v>Trade and other receivables</v>
      </c>
    </row>
    <row r="24" spans="1:14" x14ac:dyDescent="0.25">
      <c r="B24" s="17" t="str">
        <f>+BalSheet!B22</f>
        <v>Operating cash</v>
      </c>
    </row>
    <row r="25" spans="1:14" x14ac:dyDescent="0.25">
      <c r="B25" s="17" t="str">
        <f>+BalSheet!B29</f>
        <v>Trade and other payables</v>
      </c>
    </row>
    <row r="26" spans="1:14" x14ac:dyDescent="0.25">
      <c r="B26" s="17" t="str">
        <f>+BalSheet!B30</f>
        <v>Other current liabilities</v>
      </c>
    </row>
    <row r="27" spans="1:14" s="4" customFormat="1" x14ac:dyDescent="0.25">
      <c r="B27" s="4" t="s">
        <v>28</v>
      </c>
      <c r="J27" s="17"/>
      <c r="K27" s="17"/>
      <c r="L27" s="17"/>
      <c r="M27" s="17"/>
      <c r="N27" s="17"/>
    </row>
    <row r="28" spans="1:14" s="4" customFormat="1" x14ac:dyDescent="0.25">
      <c r="J28" s="17"/>
      <c r="K28" s="17"/>
      <c r="L28" s="17"/>
      <c r="M28" s="17"/>
      <c r="N28" s="17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&amp;L&amp;8&amp;F &amp;A</oddHeader>
    <oddFooter>&amp;R&amp;8Page &amp;P of &amp;N&amp;L&amp;8© AMT Training 2008 - 2017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zoomScale="150" zoomScaleNormal="150" workbookViewId="0">
      <pane ySplit="2" topLeftCell="A3" activePane="bottomLeft" state="frozen"/>
      <selection pane="bottomLeft" activeCell="E20" sqref="E20"/>
    </sheetView>
  </sheetViews>
  <sheetFormatPr defaultRowHeight="13.2" x14ac:dyDescent="0.25"/>
  <cols>
    <col min="1" max="1" width="1.6640625" style="17" customWidth="1"/>
    <col min="2" max="2" width="40.6640625" style="17" customWidth="1"/>
    <col min="3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9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</row>
    <row r="2" spans="1:9" ht="18" thickBot="1" x14ac:dyDescent="0.35">
      <c r="A2" s="18" t="s">
        <v>29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</row>
    <row r="3" spans="1:9" ht="13.8" thickTop="1" x14ac:dyDescent="0.25">
      <c r="A3" s="21" t="s">
        <v>30</v>
      </c>
    </row>
    <row r="4" spans="1:9" x14ac:dyDescent="0.25">
      <c r="B4" s="17" t="s">
        <v>31</v>
      </c>
      <c r="E4" s="22">
        <v>0.06</v>
      </c>
      <c r="F4" s="22">
        <v>0.06</v>
      </c>
      <c r="G4" s="22">
        <v>0.06</v>
      </c>
      <c r="H4" s="22">
        <v>0.06</v>
      </c>
      <c r="I4" s="22">
        <v>0.06</v>
      </c>
    </row>
    <row r="5" spans="1:9" x14ac:dyDescent="0.25">
      <c r="B5" s="17" t="s">
        <v>32</v>
      </c>
      <c r="E5" s="22">
        <v>5.5E-2</v>
      </c>
      <c r="F5" s="22">
        <v>5.5E-2</v>
      </c>
      <c r="G5" s="22">
        <v>5.5E-2</v>
      </c>
      <c r="H5" s="22">
        <v>5.5E-2</v>
      </c>
      <c r="I5" s="22">
        <v>5.5E-2</v>
      </c>
    </row>
    <row r="6" spans="1:9" x14ac:dyDescent="0.25">
      <c r="B6" s="17" t="s">
        <v>33</v>
      </c>
      <c r="E6" s="22">
        <v>0.02</v>
      </c>
      <c r="F6" s="22">
        <v>0.02</v>
      </c>
      <c r="G6" s="22">
        <v>0.02</v>
      </c>
      <c r="H6" s="22">
        <v>0.02</v>
      </c>
      <c r="I6" s="22">
        <v>0.02</v>
      </c>
    </row>
    <row r="8" spans="1:9" x14ac:dyDescent="0.25">
      <c r="B8" s="17" t="s">
        <v>34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</row>
    <row r="9" spans="1:9" x14ac:dyDescent="0.25">
      <c r="B9" s="17" t="s">
        <v>35</v>
      </c>
      <c r="E9" s="26">
        <v>-350</v>
      </c>
      <c r="F9" s="26">
        <v>0</v>
      </c>
      <c r="G9" s="26">
        <v>-750</v>
      </c>
      <c r="H9" s="26">
        <v>-100</v>
      </c>
      <c r="I9" s="26">
        <v>-800</v>
      </c>
    </row>
    <row r="11" spans="1:9" x14ac:dyDescent="0.25">
      <c r="A11" s="21" t="s">
        <v>36</v>
      </c>
    </row>
    <row r="12" spans="1:9" x14ac:dyDescent="0.25">
      <c r="A12" s="2"/>
      <c r="B12" s="17" t="s">
        <v>37</v>
      </c>
    </row>
    <row r="13" spans="1:9" x14ac:dyDescent="0.25">
      <c r="A13" s="2"/>
      <c r="B13" s="17" t="s">
        <v>38</v>
      </c>
      <c r="E13" s="3"/>
      <c r="F13" s="3"/>
      <c r="G13" s="3"/>
      <c r="H13" s="3"/>
      <c r="I13" s="3"/>
    </row>
    <row r="14" spans="1:9" x14ac:dyDescent="0.25">
      <c r="A14" s="2"/>
      <c r="B14" s="17" t="s">
        <v>39</v>
      </c>
    </row>
    <row r="16" spans="1:9" x14ac:dyDescent="0.25">
      <c r="A16" s="21" t="s">
        <v>40</v>
      </c>
    </row>
    <row r="17" spans="1:14" x14ac:dyDescent="0.25">
      <c r="B17" s="17" t="s">
        <v>20</v>
      </c>
      <c r="E17" s="17">
        <f>D20</f>
        <v>2821</v>
      </c>
      <c r="F17" s="17" t="str">
        <f ca="1">_xlfn.FORMULATEXT(E17)</f>
        <v>=D20</v>
      </c>
    </row>
    <row r="18" spans="1:14" x14ac:dyDescent="0.25">
      <c r="B18" s="17" t="s">
        <v>41</v>
      </c>
      <c r="E18" s="17">
        <f>E8</f>
        <v>0</v>
      </c>
      <c r="F18" s="17" t="str">
        <f ca="1">_xlfn.FORMULATEXT(E18)</f>
        <v>=E8</v>
      </c>
    </row>
    <row r="19" spans="1:14" x14ac:dyDescent="0.25">
      <c r="B19" s="17" t="s">
        <v>42</v>
      </c>
      <c r="E19" s="17">
        <f>E9</f>
        <v>-350</v>
      </c>
      <c r="F19" s="17" t="str">
        <f ca="1">_xlfn.FORMULATEXT(E19)</f>
        <v>=E9</v>
      </c>
    </row>
    <row r="20" spans="1:14" x14ac:dyDescent="0.25">
      <c r="B20" s="17" t="s">
        <v>23</v>
      </c>
      <c r="D20" s="17">
        <f>BalSheet!D33</f>
        <v>2821</v>
      </c>
      <c r="E20" s="17">
        <f>SUM(E17:E19)</f>
        <v>2471</v>
      </c>
      <c r="F20" s="17" t="str">
        <f ca="1">_xlfn.FORMULATEXT(E20)</f>
        <v>=SUM(E17:E19)</v>
      </c>
    </row>
    <row r="21" spans="1:14" x14ac:dyDescent="0.25">
      <c r="B21" s="17" t="s">
        <v>38</v>
      </c>
      <c r="E21" s="3"/>
      <c r="F21" s="3"/>
      <c r="G21" s="3"/>
      <c r="H21" s="3"/>
      <c r="I21" s="3"/>
    </row>
    <row r="22" spans="1:14" x14ac:dyDescent="0.25">
      <c r="B22" s="17" t="s">
        <v>39</v>
      </c>
    </row>
    <row r="24" spans="1:14" x14ac:dyDescent="0.25">
      <c r="A24" s="21" t="s">
        <v>43</v>
      </c>
    </row>
    <row r="25" spans="1:14" x14ac:dyDescent="0.25">
      <c r="B25" s="17" t="s">
        <v>36</v>
      </c>
    </row>
    <row r="26" spans="1:14" x14ac:dyDescent="0.25">
      <c r="B26" s="17" t="s">
        <v>40</v>
      </c>
    </row>
    <row r="27" spans="1:14" s="4" customFormat="1" x14ac:dyDescent="0.25">
      <c r="B27" s="4" t="s">
        <v>44</v>
      </c>
      <c r="J27" s="17"/>
      <c r="K27" s="17"/>
      <c r="L27" s="17"/>
      <c r="M27" s="17"/>
      <c r="N27" s="17"/>
    </row>
    <row r="28" spans="1:14" s="4" customFormat="1" x14ac:dyDescent="0.25">
      <c r="J28" s="17"/>
      <c r="K28" s="17"/>
      <c r="L28" s="17"/>
      <c r="M28" s="17"/>
      <c r="N28" s="17"/>
    </row>
    <row r="29" spans="1:14" x14ac:dyDescent="0.25">
      <c r="B29" s="17" t="s">
        <v>45</v>
      </c>
    </row>
    <row r="30" spans="1:14" s="4" customFormat="1" x14ac:dyDescent="0.25">
      <c r="J30" s="17"/>
      <c r="K30" s="17"/>
      <c r="L30" s="17"/>
      <c r="M30" s="17"/>
      <c r="N30" s="17"/>
    </row>
    <row r="31" spans="1:14" x14ac:dyDescent="0.25">
      <c r="A31" s="21" t="s">
        <v>46</v>
      </c>
    </row>
    <row r="32" spans="1:14" x14ac:dyDescent="0.25">
      <c r="B32" s="17" t="s">
        <v>47</v>
      </c>
    </row>
    <row r="33" spans="2:9" x14ac:dyDescent="0.25">
      <c r="B33" s="17" t="s">
        <v>38</v>
      </c>
      <c r="E33" s="3"/>
      <c r="F33" s="3"/>
      <c r="G33" s="3"/>
      <c r="H33" s="3"/>
      <c r="I33" s="3"/>
    </row>
    <row r="34" spans="2:9" x14ac:dyDescent="0.25">
      <c r="B34" s="17" t="s">
        <v>46</v>
      </c>
    </row>
  </sheetData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>
    <oddHeader>&amp;L&amp;8&amp;F &amp;A</oddHeader>
    <oddFooter>&amp;R&amp;8Page &amp;P of &amp;N&amp;L&amp;8© AMT Training 2008 - 2017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="150" zoomScaleNormal="15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1.6640625" style="17" customWidth="1"/>
    <col min="2" max="2" width="40.6640625" style="17" customWidth="1"/>
    <col min="3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9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</row>
    <row r="2" spans="1:9" ht="18" thickBot="1" x14ac:dyDescent="0.35">
      <c r="A2" s="18" t="s">
        <v>98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</row>
    <row r="3" spans="1:9" ht="13.8" thickTop="1" x14ac:dyDescent="0.25">
      <c r="A3" s="21" t="s">
        <v>30</v>
      </c>
    </row>
    <row r="4" spans="1:9" x14ac:dyDescent="0.25">
      <c r="B4" s="17" t="s">
        <v>48</v>
      </c>
      <c r="D4" s="3">
        <f>+D16/C16-1</f>
        <v>0.12386156648451729</v>
      </c>
      <c r="E4" s="22">
        <v>8.6999999999999994E-2</v>
      </c>
      <c r="F4" s="22">
        <v>0.05</v>
      </c>
      <c r="G4" s="22">
        <v>5.5E-2</v>
      </c>
      <c r="H4" s="22">
        <v>3.5999999999999997E-2</v>
      </c>
      <c r="I4" s="22">
        <v>2.9000000000000001E-2</v>
      </c>
    </row>
    <row r="5" spans="1:9" x14ac:dyDescent="0.25">
      <c r="B5" s="17" t="s">
        <v>49</v>
      </c>
      <c r="C5" s="3">
        <f>-C17/C16</f>
        <v>0.73309046751669704</v>
      </c>
      <c r="D5" s="3">
        <f>-D17/D16</f>
        <v>0.73300918422474337</v>
      </c>
      <c r="E5" s="22">
        <v>0.73199999999999998</v>
      </c>
      <c r="F5" s="22">
        <v>0.73099999999999998</v>
      </c>
      <c r="G5" s="22">
        <v>0.73099999999999998</v>
      </c>
      <c r="H5" s="22">
        <v>0.73099999999999998</v>
      </c>
      <c r="I5" s="22">
        <v>0.73099999999999998</v>
      </c>
    </row>
    <row r="6" spans="1:9" x14ac:dyDescent="0.25">
      <c r="B6" s="17" t="s">
        <v>50</v>
      </c>
      <c r="C6" s="3">
        <f>-C18/C16</f>
        <v>0.11026108075288403</v>
      </c>
      <c r="D6" s="3">
        <f>-D18/D16</f>
        <v>0.10826580226904375</v>
      </c>
      <c r="E6" s="22">
        <v>0.105</v>
      </c>
      <c r="F6" s="22">
        <v>0.105</v>
      </c>
      <c r="G6" s="22">
        <v>0.105</v>
      </c>
      <c r="H6" s="22">
        <v>0.108</v>
      </c>
      <c r="I6" s="22">
        <v>0.108</v>
      </c>
    </row>
    <row r="7" spans="1:9" x14ac:dyDescent="0.25">
      <c r="B7" s="17" t="s">
        <v>51</v>
      </c>
      <c r="C7" s="3">
        <f>-C19/C16</f>
        <v>4.796599878567092E-2</v>
      </c>
      <c r="D7" s="3">
        <f>-D19/D16</f>
        <v>5.0459211237169101E-2</v>
      </c>
      <c r="E7" s="22">
        <v>4.8000000000000001E-2</v>
      </c>
      <c r="F7" s="22">
        <v>4.8000000000000001E-2</v>
      </c>
      <c r="G7" s="22">
        <v>4.8000000000000001E-2</v>
      </c>
      <c r="H7" s="22">
        <v>4.8000000000000001E-2</v>
      </c>
      <c r="I7" s="22">
        <v>4.8000000000000001E-2</v>
      </c>
    </row>
    <row r="8" spans="1:9" x14ac:dyDescent="0.25">
      <c r="B8" s="17" t="s">
        <v>52</v>
      </c>
      <c r="C8" s="17">
        <f>+C23</f>
        <v>-266</v>
      </c>
      <c r="D8" s="17">
        <f>+D23</f>
        <v>-297.5</v>
      </c>
      <c r="E8" s="26">
        <v>-297.5</v>
      </c>
      <c r="F8" s="26">
        <v>-297.5</v>
      </c>
      <c r="G8" s="26">
        <v>-297.5</v>
      </c>
      <c r="H8" s="26">
        <v>-297.5</v>
      </c>
      <c r="I8" s="26">
        <v>-297.5</v>
      </c>
    </row>
    <row r="9" spans="1:9" x14ac:dyDescent="0.25">
      <c r="B9" s="17" t="s">
        <v>53</v>
      </c>
      <c r="C9" s="17">
        <f>+C26</f>
        <v>-143.5</v>
      </c>
      <c r="D9" s="17">
        <f>+D26</f>
        <v>-269.5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</row>
    <row r="10" spans="1:9" x14ac:dyDescent="0.25">
      <c r="B10" s="17" t="s">
        <v>54</v>
      </c>
      <c r="C10" s="3">
        <f>-C31/C29</f>
        <v>0.25806451612903225</v>
      </c>
      <c r="D10" s="3">
        <f>-D31/D29</f>
        <v>0.22626262626262628</v>
      </c>
      <c r="E10" s="22">
        <v>0.25</v>
      </c>
      <c r="F10" s="22">
        <v>0.25</v>
      </c>
      <c r="G10" s="22">
        <v>0.25</v>
      </c>
      <c r="H10" s="22">
        <v>0.25</v>
      </c>
      <c r="I10" s="22">
        <v>0.25</v>
      </c>
    </row>
    <row r="11" spans="1:9" x14ac:dyDescent="0.25">
      <c r="B11" s="17" t="s">
        <v>55</v>
      </c>
      <c r="C11" s="3">
        <f>-C34/C32</f>
        <v>0.39897698209718668</v>
      </c>
      <c r="D11" s="3">
        <f>-D34/D32</f>
        <v>0.42036553524804177</v>
      </c>
      <c r="E11" s="22">
        <v>0.42</v>
      </c>
      <c r="F11" s="22">
        <v>0.42</v>
      </c>
      <c r="G11" s="22">
        <v>0.42</v>
      </c>
      <c r="H11" s="22">
        <v>0.42</v>
      </c>
      <c r="I11" s="22">
        <v>0.42</v>
      </c>
    </row>
    <row r="12" spans="1:9" x14ac:dyDescent="0.25">
      <c r="B12" s="17" t="s">
        <v>56</v>
      </c>
      <c r="C12" s="17">
        <f>+C37</f>
        <v>2765</v>
      </c>
      <c r="D12" s="17">
        <f>+D37</f>
        <v>2761.5</v>
      </c>
      <c r="E12" s="26">
        <v>2770.8589999999999</v>
      </c>
      <c r="F12" s="26">
        <v>2770.8589999999999</v>
      </c>
      <c r="G12" s="26">
        <v>2770.8589999999999</v>
      </c>
      <c r="H12" s="26">
        <v>2770.8589999999999</v>
      </c>
      <c r="I12" s="26">
        <v>2770.8589999999999</v>
      </c>
    </row>
    <row r="13" spans="1:9" x14ac:dyDescent="0.25">
      <c r="B13" s="17" t="s">
        <v>57</v>
      </c>
      <c r="C13" s="17">
        <f>+C38</f>
        <v>2765</v>
      </c>
      <c r="D13" s="17">
        <f>+D38</f>
        <v>2761.5</v>
      </c>
      <c r="E13" s="26">
        <v>2770.8589999999999</v>
      </c>
      <c r="F13" s="26">
        <v>2770.8589999999999</v>
      </c>
      <c r="G13" s="26">
        <v>2770.8589999999999</v>
      </c>
      <c r="H13" s="26">
        <v>2770.8589999999999</v>
      </c>
      <c r="I13" s="26">
        <v>2770.8589999999999</v>
      </c>
    </row>
    <row r="15" spans="1:9" x14ac:dyDescent="0.25">
      <c r="A15" s="21" t="s">
        <v>58</v>
      </c>
    </row>
    <row r="16" spans="1:9" x14ac:dyDescent="0.25">
      <c r="B16" s="17" t="s">
        <v>59</v>
      </c>
      <c r="C16" s="24">
        <v>28822.5</v>
      </c>
      <c r="D16" s="24">
        <v>32392.5</v>
      </c>
      <c r="E16" s="17">
        <f>(1+E4)*D16</f>
        <v>35210.647499999999</v>
      </c>
      <c r="F16" s="4" t="str">
        <f ca="1">_xlfn.FORMULATEXT(E16)</f>
        <v>=(1+E4)*D16</v>
      </c>
    </row>
    <row r="17" spans="2:14" x14ac:dyDescent="0.25">
      <c r="B17" s="17" t="s">
        <v>60</v>
      </c>
      <c r="C17" s="24">
        <f>(-6327+10+46+234)*3.5</f>
        <v>-21129.5</v>
      </c>
      <c r="D17" s="24">
        <f>(-7085+12-1+290)*3.5</f>
        <v>-23744</v>
      </c>
      <c r="E17" s="17">
        <f>-E5*E16</f>
        <v>-25774.19397</v>
      </c>
      <c r="F17" s="4" t="str">
        <f t="shared" ref="F17:F19" ca="1" si="0">_xlfn.FORMULATEXT(E17)</f>
        <v>=-E5*E16</v>
      </c>
    </row>
    <row r="18" spans="2:14" x14ac:dyDescent="0.25">
      <c r="B18" s="17" t="s">
        <v>61</v>
      </c>
      <c r="C18" s="24">
        <v>-3178</v>
      </c>
      <c r="D18" s="24">
        <v>-3507</v>
      </c>
      <c r="E18" s="17">
        <f>-E6*E16</f>
        <v>-3697.1179874999998</v>
      </c>
      <c r="F18" s="4" t="str">
        <f t="shared" ca="1" si="0"/>
        <v>=-E6*E16</v>
      </c>
    </row>
    <row r="19" spans="2:14" x14ac:dyDescent="0.25">
      <c r="B19" s="17" t="s">
        <v>62</v>
      </c>
      <c r="C19" s="24">
        <f>(-471+76)*3.5</f>
        <v>-1382.5</v>
      </c>
      <c r="D19" s="24">
        <f>(-552+85)*3.5</f>
        <v>-1634.5</v>
      </c>
      <c r="E19" s="17">
        <f>-E7*E16</f>
        <v>-1690.1110799999999</v>
      </c>
      <c r="F19" s="4" t="str">
        <f t="shared" ca="1" si="0"/>
        <v>=-E7*E16</v>
      </c>
    </row>
    <row r="20" spans="2:14" s="4" customFormat="1" x14ac:dyDescent="0.25">
      <c r="B20" s="4" t="s">
        <v>63</v>
      </c>
      <c r="C20" s="4">
        <f t="shared" ref="C20:E20" si="1">SUM(C16:C19)</f>
        <v>3132.5</v>
      </c>
      <c r="D20" s="4">
        <f t="shared" si="1"/>
        <v>3507</v>
      </c>
      <c r="E20" s="4">
        <f t="shared" si="1"/>
        <v>4049.2244624999994</v>
      </c>
      <c r="F20" s="4" t="str">
        <f ca="1">_xlfn.FORMULATEXT(E20)</f>
        <v>=SUM(E16:E19)</v>
      </c>
      <c r="J20" s="17"/>
      <c r="K20" s="17"/>
      <c r="L20" s="17"/>
      <c r="M20" s="17"/>
      <c r="N20" s="17"/>
    </row>
    <row r="21" spans="2:14" x14ac:dyDescent="0.25">
      <c r="C21" s="24"/>
    </row>
    <row r="22" spans="2:14" x14ac:dyDescent="0.25">
      <c r="B22" s="17" t="s">
        <v>22</v>
      </c>
      <c r="C22" s="24">
        <v>-819</v>
      </c>
      <c r="D22" s="24">
        <v>-1015</v>
      </c>
      <c r="E22" s="17">
        <f>Calcs!E9</f>
        <v>-1204.259</v>
      </c>
      <c r="F22" s="4" t="str">
        <f ca="1">_xlfn.FORMULATEXT(E22)</f>
        <v>=Calcs!E9</v>
      </c>
    </row>
    <row r="23" spans="2:14" x14ac:dyDescent="0.25">
      <c r="B23" s="17" t="s">
        <v>64</v>
      </c>
      <c r="C23" s="24">
        <f>(-74-2)*3.5</f>
        <v>-266</v>
      </c>
      <c r="D23" s="24">
        <f>(-82-3)*3.5</f>
        <v>-297.5</v>
      </c>
      <c r="E23" s="17">
        <f>E8</f>
        <v>-297.5</v>
      </c>
      <c r="F23" s="4" t="str">
        <f ca="1">_xlfn.FORMULATEXT(E23)</f>
        <v>=E8</v>
      </c>
    </row>
    <row r="24" spans="2:14" s="4" customFormat="1" x14ac:dyDescent="0.25">
      <c r="B24" s="4" t="s">
        <v>65</v>
      </c>
      <c r="C24" s="4">
        <f t="shared" ref="C24:E24" si="2">SUM(C20,C22:C23)</f>
        <v>2047.5</v>
      </c>
      <c r="D24" s="4">
        <f t="shared" si="2"/>
        <v>2194.5</v>
      </c>
      <c r="E24" s="4">
        <f t="shared" si="2"/>
        <v>2547.4654624999994</v>
      </c>
      <c r="F24" s="4" t="str">
        <f ca="1">_xlfn.FORMULATEXT(E24)</f>
        <v>=SUM(E20,E22:E23)</v>
      </c>
      <c r="J24" s="17"/>
      <c r="K24" s="17"/>
      <c r="L24" s="17"/>
      <c r="M24" s="17"/>
      <c r="N24" s="17"/>
    </row>
    <row r="26" spans="2:14" x14ac:dyDescent="0.25">
      <c r="B26" s="17" t="s">
        <v>66</v>
      </c>
      <c r="C26" s="24">
        <f>(5-46)*3.5</f>
        <v>-143.5</v>
      </c>
      <c r="D26" s="24">
        <f>(-65-12)*3.5</f>
        <v>-269.5</v>
      </c>
      <c r="E26" s="17">
        <f>E9</f>
        <v>0</v>
      </c>
      <c r="F26" s="4" t="str">
        <f ca="1">_xlfn.FORMULATEXT(E26)</f>
        <v>=E9</v>
      </c>
    </row>
    <row r="27" spans="2:14" x14ac:dyDescent="0.25">
      <c r="B27" s="17" t="s">
        <v>46</v>
      </c>
      <c r="C27" s="24">
        <f>(21+21+15)*3.5</f>
        <v>199.5</v>
      </c>
      <c r="D27" s="24">
        <f>(17+13+10)*3.5</f>
        <v>140</v>
      </c>
      <c r="E27" s="29"/>
    </row>
    <row r="28" spans="2:14" x14ac:dyDescent="0.25">
      <c r="B28" s="17" t="s">
        <v>39</v>
      </c>
      <c r="C28" s="24">
        <v>-259</v>
      </c>
      <c r="D28" s="24">
        <v>-332.5</v>
      </c>
      <c r="E28" s="29"/>
    </row>
    <row r="29" spans="2:14" s="4" customFormat="1" x14ac:dyDescent="0.25">
      <c r="B29" s="4" t="s">
        <v>67</v>
      </c>
      <c r="C29" s="4">
        <f t="shared" ref="C29:E29" si="3">SUM(C24,C26:C28)</f>
        <v>1844.5</v>
      </c>
      <c r="D29" s="4">
        <f t="shared" si="3"/>
        <v>1732.5</v>
      </c>
      <c r="E29" s="4">
        <f t="shared" si="3"/>
        <v>2547.4654624999994</v>
      </c>
      <c r="F29" s="4" t="str">
        <f ca="1">_xlfn.FORMULATEXT(E29)</f>
        <v>=SUM(E24,E26:E28)</v>
      </c>
      <c r="J29" s="17"/>
      <c r="K29" s="17"/>
      <c r="L29" s="17"/>
      <c r="M29" s="17"/>
      <c r="N29" s="17"/>
    </row>
    <row r="31" spans="2:14" x14ac:dyDescent="0.25">
      <c r="B31" s="17" t="s">
        <v>68</v>
      </c>
      <c r="C31" s="24">
        <v>-476</v>
      </c>
      <c r="D31" s="24">
        <v>-392</v>
      </c>
      <c r="E31" s="17">
        <f>-E10*E29</f>
        <v>-636.86636562499984</v>
      </c>
      <c r="F31" s="4" t="str">
        <f ca="1">_xlfn.FORMULATEXT(E31)</f>
        <v>=-E10*E29</v>
      </c>
    </row>
    <row r="32" spans="2:14" s="4" customFormat="1" x14ac:dyDescent="0.25">
      <c r="B32" s="4" t="s">
        <v>26</v>
      </c>
      <c r="C32" s="4">
        <f t="shared" ref="C32:E32" si="4">SUM(C29,C31)</f>
        <v>1368.5</v>
      </c>
      <c r="D32" s="4">
        <f t="shared" si="4"/>
        <v>1340.5</v>
      </c>
      <c r="E32" s="4">
        <f t="shared" si="4"/>
        <v>1910.5990968749995</v>
      </c>
      <c r="F32" s="4" t="str">
        <f ca="1">_xlfn.FORMULATEXT(E32)</f>
        <v>=SUM(E29,E31)</v>
      </c>
      <c r="J32" s="17"/>
      <c r="K32" s="17"/>
      <c r="L32" s="17"/>
      <c r="M32" s="17"/>
      <c r="N32" s="17"/>
    </row>
    <row r="33" spans="1:14" s="4" customFormat="1" x14ac:dyDescent="0.25">
      <c r="J33" s="17"/>
      <c r="K33" s="17"/>
      <c r="L33" s="17"/>
      <c r="M33" s="17"/>
      <c r="N33" s="17"/>
    </row>
    <row r="34" spans="1:14" x14ac:dyDescent="0.25">
      <c r="B34" s="17" t="s">
        <v>27</v>
      </c>
      <c r="C34" s="24">
        <v>-546</v>
      </c>
      <c r="D34" s="24">
        <v>-563.5</v>
      </c>
      <c r="E34" s="17">
        <f>-E11*E32</f>
        <v>-802.45162068749983</v>
      </c>
      <c r="F34" s="4" t="str">
        <f ca="1">_xlfn.FORMULATEXT(E34)</f>
        <v>=-E11*E32</v>
      </c>
    </row>
    <row r="36" spans="1:14" x14ac:dyDescent="0.25">
      <c r="A36" s="21" t="s">
        <v>69</v>
      </c>
    </row>
    <row r="37" spans="1:14" x14ac:dyDescent="0.25">
      <c r="B37" s="17" t="s">
        <v>56</v>
      </c>
      <c r="C37" s="24">
        <v>2765</v>
      </c>
      <c r="D37" s="24">
        <v>2761.5</v>
      </c>
      <c r="E37" s="17">
        <f>E12</f>
        <v>2770.8589999999999</v>
      </c>
      <c r="F37" s="4" t="str">
        <f t="shared" ref="F37:F38" ca="1" si="5">_xlfn.FORMULATEXT(E37)</f>
        <v>=E12</v>
      </c>
    </row>
    <row r="38" spans="1:14" x14ac:dyDescent="0.25">
      <c r="B38" s="17" t="s">
        <v>57</v>
      </c>
      <c r="C38" s="24">
        <v>2765</v>
      </c>
      <c r="D38" s="24">
        <v>2761.5</v>
      </c>
      <c r="E38" s="17">
        <f>E13</f>
        <v>2770.8589999999999</v>
      </c>
      <c r="F38" s="4" t="str">
        <f t="shared" ca="1" si="5"/>
        <v>=E13</v>
      </c>
    </row>
    <row r="39" spans="1:14" x14ac:dyDescent="0.25">
      <c r="B39" s="17" t="s">
        <v>70</v>
      </c>
      <c r="C39" s="27">
        <f t="shared" ref="C39:E39" si="6">C32/C37</f>
        <v>0.49493670886075947</v>
      </c>
      <c r="D39" s="27">
        <f t="shared" si="6"/>
        <v>0.48542458808618505</v>
      </c>
      <c r="E39" s="27">
        <f t="shared" si="6"/>
        <v>0.689533136429894</v>
      </c>
      <c r="F39" s="4" t="str">
        <f t="shared" ref="F39:F41" ca="1" si="7">_xlfn.FORMULATEXT(E39)</f>
        <v>=E32/E37</v>
      </c>
      <c r="G39" s="27"/>
      <c r="H39" s="27"/>
      <c r="I39" s="27"/>
    </row>
    <row r="40" spans="1:14" x14ac:dyDescent="0.25">
      <c r="B40" s="17" t="s">
        <v>71</v>
      </c>
      <c r="C40" s="27">
        <f t="shared" ref="C40:E40" si="8">C32/C38</f>
        <v>0.49493670886075947</v>
      </c>
      <c r="D40" s="27">
        <f t="shared" si="8"/>
        <v>0.48542458808618505</v>
      </c>
      <c r="E40" s="27">
        <f t="shared" si="8"/>
        <v>0.689533136429894</v>
      </c>
      <c r="F40" s="4" t="str">
        <f t="shared" ca="1" si="7"/>
        <v>=E32/E38</v>
      </c>
      <c r="G40" s="27"/>
      <c r="H40" s="27"/>
      <c r="I40" s="27"/>
    </row>
    <row r="41" spans="1:14" x14ac:dyDescent="0.25">
      <c r="B41" s="17" t="s">
        <v>72</v>
      </c>
      <c r="C41" s="27">
        <f t="shared" ref="C41:E41" si="9">-C34/C37</f>
        <v>0.19746835443037974</v>
      </c>
      <c r="D41" s="27">
        <f t="shared" si="9"/>
        <v>0.20405576679340937</v>
      </c>
      <c r="E41" s="27">
        <f t="shared" si="9"/>
        <v>0.28960391730055546</v>
      </c>
      <c r="F41" s="4" t="str">
        <f t="shared" ca="1" si="7"/>
        <v>=-E34/E37</v>
      </c>
      <c r="G41" s="27"/>
      <c r="H41" s="27"/>
      <c r="I41" s="27"/>
    </row>
  </sheetData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>
    <oddHeader>&amp;L&amp;8&amp;F &amp;A</oddHeader>
    <oddFooter>&amp;R&amp;8Page &amp;P of &amp;N&amp;L&amp;8© AMT Training 2008 - 2017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tabSelected="1" zoomScale="150" zoomScaleNormal="150" workbookViewId="0">
      <pane ySplit="2" topLeftCell="A3" activePane="bottomLeft" state="frozen"/>
      <selection pane="bottomLeft" activeCell="F23" sqref="F23"/>
    </sheetView>
  </sheetViews>
  <sheetFormatPr defaultRowHeight="13.2" x14ac:dyDescent="0.25"/>
  <cols>
    <col min="1" max="1" width="1.6640625" style="17" customWidth="1"/>
    <col min="2" max="2" width="40.6640625" style="17" customWidth="1"/>
    <col min="3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9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</row>
    <row r="2" spans="1:9" ht="18" thickBot="1" x14ac:dyDescent="0.35">
      <c r="A2" s="18" t="s">
        <v>97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</row>
    <row r="3" spans="1:9" ht="13.8" thickTop="1" x14ac:dyDescent="0.25">
      <c r="A3" s="21" t="s">
        <v>30</v>
      </c>
    </row>
    <row r="4" spans="1:9" x14ac:dyDescent="0.25">
      <c r="B4" s="17" t="s">
        <v>73</v>
      </c>
      <c r="C4" s="3">
        <f>+C17/IncStat!C16</f>
        <v>3.6551305403764417E-2</v>
      </c>
      <c r="D4" s="3">
        <f>+D17/IncStat!D16</f>
        <v>5.1431658562938951E-2</v>
      </c>
      <c r="E4" s="22">
        <v>5.0999999999999997E-2</v>
      </c>
      <c r="F4" s="22">
        <v>5.0999999999999997E-2</v>
      </c>
      <c r="G4" s="22">
        <v>5.0999999999999997E-2</v>
      </c>
      <c r="H4" s="22">
        <v>5.0999999999999997E-2</v>
      </c>
      <c r="I4" s="22">
        <v>5.0999999999999997E-2</v>
      </c>
    </row>
    <row r="6" spans="1:9" x14ac:dyDescent="0.25">
      <c r="B6" s="17" t="s">
        <v>74</v>
      </c>
      <c r="C6" s="3">
        <f>-C20/IncStat!C17</f>
        <v>0.1726022859035945</v>
      </c>
      <c r="D6" s="3">
        <f>-D20/IncStat!D17</f>
        <v>0.18602594339622641</v>
      </c>
      <c r="E6" s="22">
        <v>0.186</v>
      </c>
      <c r="F6" s="22">
        <v>0.186</v>
      </c>
      <c r="G6" s="22">
        <v>0.186</v>
      </c>
      <c r="H6" s="22">
        <v>0.186</v>
      </c>
      <c r="I6" s="22">
        <v>0.186</v>
      </c>
    </row>
    <row r="7" spans="1:9" x14ac:dyDescent="0.25">
      <c r="B7" s="17" t="s">
        <v>75</v>
      </c>
      <c r="C7" s="3">
        <f>+C21/IncStat!C16</f>
        <v>0.14911961141469338</v>
      </c>
      <c r="D7" s="3">
        <f>+D21/IncStat!D16</f>
        <v>0.12112371690977849</v>
      </c>
      <c r="E7" s="22">
        <v>0.121</v>
      </c>
      <c r="F7" s="22">
        <v>0.121</v>
      </c>
      <c r="G7" s="22">
        <v>0.121</v>
      </c>
      <c r="H7" s="22">
        <v>0.121</v>
      </c>
      <c r="I7" s="22">
        <v>0.121</v>
      </c>
    </row>
    <row r="8" spans="1:9" x14ac:dyDescent="0.25">
      <c r="B8" s="17" t="s">
        <v>76</v>
      </c>
      <c r="C8" s="23">
        <v>5.0000000000000001E-3</v>
      </c>
      <c r="D8" s="23">
        <v>5.0000000000000001E-3</v>
      </c>
      <c r="E8" s="22">
        <v>5.0000000000000001E-3</v>
      </c>
      <c r="F8" s="22">
        <v>5.0000000000000001E-3</v>
      </c>
      <c r="G8" s="22">
        <v>5.0000000000000001E-3</v>
      </c>
      <c r="H8" s="22">
        <v>5.0000000000000001E-3</v>
      </c>
      <c r="I8" s="22">
        <v>5.0000000000000001E-3</v>
      </c>
    </row>
    <row r="10" spans="1:9" x14ac:dyDescent="0.25">
      <c r="B10" s="17" t="s">
        <v>77</v>
      </c>
      <c r="C10" s="3">
        <f>-C29/IncStat!C17</f>
        <v>0.22610568162994865</v>
      </c>
      <c r="D10" s="3">
        <f>-D29/IncStat!D17</f>
        <v>0.20828419811320756</v>
      </c>
      <c r="E10" s="22">
        <v>0.20799999999999999</v>
      </c>
      <c r="F10" s="22">
        <v>0.20799999999999999</v>
      </c>
      <c r="G10" s="22">
        <v>0.20799999999999999</v>
      </c>
      <c r="H10" s="22">
        <v>0.20799999999999999</v>
      </c>
      <c r="I10" s="22">
        <v>0.20799999999999999</v>
      </c>
    </row>
    <row r="11" spans="1:9" x14ac:dyDescent="0.25">
      <c r="B11" s="17" t="s">
        <v>78</v>
      </c>
      <c r="C11" s="3">
        <f>+C30/IncStat!C16</f>
        <v>2.1129326047358836E-2</v>
      </c>
      <c r="D11" s="3">
        <f>+D30/IncStat!D16</f>
        <v>4.1815235008103725E-2</v>
      </c>
      <c r="E11" s="22">
        <v>4.2000000000000003E-2</v>
      </c>
      <c r="F11" s="22">
        <v>4.2000000000000003E-2</v>
      </c>
      <c r="G11" s="22">
        <v>4.2000000000000003E-2</v>
      </c>
      <c r="H11" s="22">
        <v>4.2000000000000003E-2</v>
      </c>
      <c r="I11" s="22">
        <v>4.2000000000000003E-2</v>
      </c>
    </row>
    <row r="12" spans="1:9" x14ac:dyDescent="0.25">
      <c r="B12" s="17" t="s">
        <v>79</v>
      </c>
      <c r="C12" s="3">
        <f>+C34/IncStat!C16</f>
        <v>7.2252580449301759E-2</v>
      </c>
      <c r="D12" s="3">
        <f>+D34/IncStat!D16</f>
        <v>7.4662344678552137E-2</v>
      </c>
      <c r="E12" s="22">
        <v>7.4999999999999997E-2</v>
      </c>
      <c r="F12" s="22">
        <v>7.4999999999999997E-2</v>
      </c>
      <c r="G12" s="22">
        <v>7.4999999999999997E-2</v>
      </c>
      <c r="H12" s="22">
        <v>7.4999999999999997E-2</v>
      </c>
      <c r="I12" s="22">
        <v>7.4999999999999997E-2</v>
      </c>
    </row>
    <row r="14" spans="1:9" x14ac:dyDescent="0.25">
      <c r="A14" s="21" t="s">
        <v>80</v>
      </c>
    </row>
    <row r="15" spans="1:9" x14ac:dyDescent="0.25">
      <c r="B15" s="17" t="s">
        <v>81</v>
      </c>
      <c r="C15" s="24">
        <v>6352.5</v>
      </c>
      <c r="D15" s="24">
        <v>6695.5</v>
      </c>
      <c r="E15" s="17">
        <f>IncStat!E23+BalSheet!D15</f>
        <v>6398</v>
      </c>
      <c r="F15" s="4" t="s">
        <v>111</v>
      </c>
    </row>
    <row r="16" spans="1:9" x14ac:dyDescent="0.25">
      <c r="B16" s="17" t="s">
        <v>82</v>
      </c>
      <c r="C16" s="24">
        <f>(3110+66+80+98)*3.5</f>
        <v>11739</v>
      </c>
      <c r="D16" s="24">
        <f>(3519+92+101+154)*3.5</f>
        <v>13531</v>
      </c>
      <c r="E16" s="17">
        <f>Calcs!E10</f>
        <v>14439.379849999999</v>
      </c>
      <c r="F16" s="4" t="s">
        <v>112</v>
      </c>
    </row>
    <row r="17" spans="2:14" x14ac:dyDescent="0.25">
      <c r="B17" s="17" t="s">
        <v>83</v>
      </c>
      <c r="C17" s="24">
        <f>(106+101+75+19)*3.5</f>
        <v>1053.5</v>
      </c>
      <c r="D17" s="24">
        <f>(16+184+140+136)*3.5</f>
        <v>1666</v>
      </c>
      <c r="E17" s="17">
        <f>E4*IncStat!E16</f>
        <v>1795.7430224999998</v>
      </c>
      <c r="F17" s="4" t="s">
        <v>111</v>
      </c>
    </row>
    <row r="18" spans="2:14" s="4" customFormat="1" x14ac:dyDescent="0.25">
      <c r="B18" s="4" t="s">
        <v>84</v>
      </c>
      <c r="C18" s="4">
        <f t="shared" ref="C18:E18" si="0">SUM(C15:C17)</f>
        <v>19145</v>
      </c>
      <c r="D18" s="4">
        <f t="shared" si="0"/>
        <v>21892.5</v>
      </c>
      <c r="E18" s="4">
        <f t="shared" si="0"/>
        <v>22633.122872499996</v>
      </c>
      <c r="J18" s="17"/>
      <c r="K18" s="17"/>
      <c r="L18" s="17"/>
      <c r="M18" s="17"/>
      <c r="N18" s="17"/>
    </row>
    <row r="19" spans="2:14" s="4" customFormat="1" x14ac:dyDescent="0.25">
      <c r="D19" s="25"/>
      <c r="J19" s="17"/>
      <c r="K19" s="17"/>
      <c r="L19" s="17"/>
      <c r="M19" s="17"/>
      <c r="N19" s="17"/>
    </row>
    <row r="20" spans="2:14" x14ac:dyDescent="0.25">
      <c r="B20" s="17" t="s">
        <v>85</v>
      </c>
      <c r="C20" s="24">
        <v>3647</v>
      </c>
      <c r="D20" s="24">
        <v>4417</v>
      </c>
      <c r="E20" s="17">
        <f>E6*IncStat!E17*-1</f>
        <v>4794.0000784200001</v>
      </c>
      <c r="F20" s="4" t="s">
        <v>111</v>
      </c>
    </row>
    <row r="21" spans="2:14" x14ac:dyDescent="0.25">
      <c r="B21" s="17" t="s">
        <v>86</v>
      </c>
      <c r="C21" s="24">
        <v>4298</v>
      </c>
      <c r="D21" s="24">
        <v>3923.5</v>
      </c>
      <c r="E21" s="17">
        <f>E7*IncStat!E16</f>
        <v>4260.4883474999997</v>
      </c>
      <c r="F21" s="4" t="s">
        <v>111</v>
      </c>
    </row>
    <row r="22" spans="2:14" x14ac:dyDescent="0.25">
      <c r="B22" s="17" t="s">
        <v>87</v>
      </c>
      <c r="C22" s="17">
        <f>+C8*IncStat!C16</f>
        <v>144.11250000000001</v>
      </c>
      <c r="D22" s="17">
        <f>+D8*IncStat!D16</f>
        <v>161.96250000000001</v>
      </c>
      <c r="E22" s="17">
        <f>E8*IncStat!E16</f>
        <v>176.05323749999999</v>
      </c>
      <c r="F22" s="4" t="s">
        <v>111</v>
      </c>
    </row>
    <row r="23" spans="2:14" x14ac:dyDescent="0.25">
      <c r="B23" s="17" t="s">
        <v>47</v>
      </c>
      <c r="C23" s="24">
        <v>1294.3875</v>
      </c>
      <c r="D23" s="24">
        <v>1220.5374999999999</v>
      </c>
      <c r="E23" s="29"/>
    </row>
    <row r="24" spans="2:14" s="4" customFormat="1" x14ac:dyDescent="0.25">
      <c r="B24" s="4" t="s">
        <v>88</v>
      </c>
      <c r="C24" s="4">
        <f t="shared" ref="C24:E24" si="1">SUM(C20:C23)</f>
        <v>9383.5</v>
      </c>
      <c r="D24" s="4">
        <f t="shared" si="1"/>
        <v>9723</v>
      </c>
      <c r="E24" s="4">
        <f t="shared" si="1"/>
        <v>9230.541663420001</v>
      </c>
      <c r="J24" s="17"/>
      <c r="K24" s="17"/>
      <c r="L24" s="17"/>
      <c r="M24" s="17"/>
      <c r="N24" s="17"/>
    </row>
    <row r="26" spans="2:14" s="4" customFormat="1" x14ac:dyDescent="0.25">
      <c r="B26" s="4" t="s">
        <v>89</v>
      </c>
      <c r="C26" s="4">
        <f t="shared" ref="C26:E26" si="2">SUM(C18,C24)</f>
        <v>28528.5</v>
      </c>
      <c r="D26" s="4">
        <f t="shared" si="2"/>
        <v>31615.5</v>
      </c>
      <c r="E26" s="4">
        <f t="shared" si="2"/>
        <v>31863.664535919997</v>
      </c>
      <c r="J26" s="17"/>
      <c r="K26" s="17"/>
      <c r="L26" s="17"/>
      <c r="M26" s="17"/>
      <c r="N26" s="17"/>
    </row>
    <row r="28" spans="2:14" x14ac:dyDescent="0.25">
      <c r="B28" s="17" t="s">
        <v>36</v>
      </c>
      <c r="C28" s="24">
        <f>(278+25)*3.5</f>
        <v>1060.5</v>
      </c>
      <c r="D28" s="24">
        <f>(584+76)*3.5</f>
        <v>2310</v>
      </c>
      <c r="E28" s="29"/>
    </row>
    <row r="29" spans="2:14" x14ac:dyDescent="0.25">
      <c r="B29" s="17" t="s">
        <v>90</v>
      </c>
      <c r="C29" s="24">
        <v>4777.5</v>
      </c>
      <c r="D29" s="24">
        <v>4945.5</v>
      </c>
      <c r="E29" s="17">
        <f>E10*IncStat!E17*-1</f>
        <v>5361.0323457599998</v>
      </c>
      <c r="F29" s="4" t="s">
        <v>111</v>
      </c>
    </row>
    <row r="30" spans="2:14" x14ac:dyDescent="0.25">
      <c r="B30" s="17" t="s">
        <v>91</v>
      </c>
      <c r="C30" s="24">
        <f>(89+85)*3.5</f>
        <v>609</v>
      </c>
      <c r="D30" s="24">
        <f>(113+248+26)*3.5</f>
        <v>1354.5</v>
      </c>
      <c r="E30" s="17">
        <f>E11*IncStat!E16</f>
        <v>1478.8471950000001</v>
      </c>
      <c r="F30" s="4" t="s">
        <v>111</v>
      </c>
    </row>
    <row r="31" spans="2:14" s="4" customFormat="1" x14ac:dyDescent="0.25">
      <c r="B31" s="4" t="s">
        <v>92</v>
      </c>
      <c r="C31" s="4">
        <f t="shared" ref="C31:E31" si="3">SUM(C28:C30)</f>
        <v>6447</v>
      </c>
      <c r="D31" s="4">
        <f t="shared" si="3"/>
        <v>8610</v>
      </c>
      <c r="E31" s="4">
        <f t="shared" si="3"/>
        <v>6839.8795407600001</v>
      </c>
      <c r="J31" s="17"/>
      <c r="K31" s="17"/>
      <c r="L31" s="17"/>
      <c r="M31" s="17"/>
      <c r="N31" s="17"/>
    </row>
    <row r="33" spans="2:14" x14ac:dyDescent="0.25">
      <c r="B33" s="17" t="s">
        <v>40</v>
      </c>
      <c r="C33" s="24">
        <v>3045</v>
      </c>
      <c r="D33" s="24">
        <v>2821</v>
      </c>
      <c r="E33" s="17">
        <f>Debt!E20</f>
        <v>2471</v>
      </c>
      <c r="F33" s="4" t="s">
        <v>113</v>
      </c>
    </row>
    <row r="34" spans="2:14" x14ac:dyDescent="0.25">
      <c r="B34" s="17" t="s">
        <v>93</v>
      </c>
      <c r="C34" s="24">
        <f>(101+449+45)*3.5</f>
        <v>2082.5</v>
      </c>
      <c r="D34" s="24">
        <f>(173+396+122)*3.5</f>
        <v>2418.5</v>
      </c>
      <c r="E34" s="17">
        <f>E12*IncStat!E16</f>
        <v>2640.7985624999997</v>
      </c>
      <c r="F34" s="4" t="s">
        <v>111</v>
      </c>
    </row>
    <row r="35" spans="2:14" s="4" customFormat="1" x14ac:dyDescent="0.25">
      <c r="B35" s="4" t="s">
        <v>94</v>
      </c>
      <c r="C35" s="4">
        <f t="shared" ref="C35:E35" si="4">SUM(C33:C34)</f>
        <v>5127.5</v>
      </c>
      <c r="D35" s="4">
        <f t="shared" si="4"/>
        <v>5239.5</v>
      </c>
      <c r="E35" s="4">
        <f t="shared" si="4"/>
        <v>5111.7985625000001</v>
      </c>
      <c r="J35" s="17"/>
      <c r="K35" s="17"/>
      <c r="L35" s="17"/>
      <c r="M35" s="17"/>
      <c r="N35" s="17"/>
    </row>
    <row r="37" spans="2:14" x14ac:dyDescent="0.25">
      <c r="B37" s="17" t="s">
        <v>24</v>
      </c>
      <c r="C37" s="24">
        <v>16954</v>
      </c>
      <c r="D37" s="24">
        <v>17766</v>
      </c>
      <c r="E37" s="17">
        <f>Calcs!E19</f>
        <v>18874.1474761875</v>
      </c>
      <c r="F37" s="4" t="s">
        <v>114</v>
      </c>
    </row>
    <row r="38" spans="2:14" s="4" customFormat="1" x14ac:dyDescent="0.25">
      <c r="B38" s="4" t="s">
        <v>95</v>
      </c>
      <c r="C38" s="4">
        <f t="shared" ref="C38:E38" si="5">SUM(C31,C35,C37)</f>
        <v>28528.5</v>
      </c>
      <c r="D38" s="4">
        <f t="shared" si="5"/>
        <v>31615.5</v>
      </c>
      <c r="E38" s="4">
        <f t="shared" si="5"/>
        <v>30825.825579447501</v>
      </c>
      <c r="J38" s="17"/>
      <c r="K38" s="17"/>
      <c r="L38" s="17"/>
      <c r="M38" s="17"/>
      <c r="N38" s="17"/>
    </row>
    <row r="40" spans="2:14" x14ac:dyDescent="0.25">
      <c r="B40" s="17" t="s">
        <v>96</v>
      </c>
      <c r="C40" s="17">
        <f t="shared" ref="C40:E40" si="6">C38-C26</f>
        <v>0</v>
      </c>
      <c r="D40" s="17">
        <f t="shared" si="6"/>
        <v>0</v>
      </c>
      <c r="E40" s="17">
        <f t="shared" si="6"/>
        <v>-1037.8389564724966</v>
      </c>
      <c r="F40" s="4"/>
    </row>
  </sheetData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Header>&amp;L&amp;8&amp;F &amp;A</oddHeader>
    <oddFooter>&amp;R&amp;8Page &amp;P of &amp;N&amp;L&amp;8© AMT Training 2008 - 2017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zoomScale="150" zoomScaleNormal="15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1.6640625" customWidth="1"/>
    <col min="2" max="2" width="40.6640625" customWidth="1"/>
    <col min="3" max="9" width="11.6640625" customWidth="1"/>
    <col min="10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14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</row>
    <row r="2" spans="1:14" ht="18" thickBot="1" x14ac:dyDescent="0.35">
      <c r="A2" s="18" t="s">
        <v>99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</row>
    <row r="3" spans="1:14" ht="13.8" thickTop="1" x14ac:dyDescent="0.25"/>
    <row r="9" spans="1:14" s="4" customFormat="1" x14ac:dyDescent="0.25">
      <c r="A9"/>
      <c r="B9"/>
      <c r="C9"/>
      <c r="D9"/>
      <c r="E9"/>
      <c r="F9"/>
      <c r="G9"/>
      <c r="H9"/>
      <c r="I9"/>
      <c r="J9" s="17"/>
      <c r="K9" s="17"/>
      <c r="L9" s="17"/>
      <c r="M9" s="17"/>
      <c r="N9" s="17"/>
    </row>
    <row r="12" spans="1:14" s="4" customFormat="1" x14ac:dyDescent="0.25">
      <c r="A12"/>
      <c r="B12"/>
      <c r="C12"/>
      <c r="D12"/>
      <c r="E12"/>
      <c r="F12"/>
      <c r="G12"/>
      <c r="H12"/>
      <c r="I12"/>
      <c r="J12" s="17"/>
      <c r="K12" s="17"/>
      <c r="L12" s="17"/>
      <c r="M12" s="17"/>
      <c r="N12" s="17"/>
    </row>
    <row r="17" spans="1:14" s="4" customFormat="1" x14ac:dyDescent="0.25">
      <c r="A17"/>
      <c r="B17"/>
      <c r="C17"/>
      <c r="D17"/>
      <c r="E17"/>
      <c r="F17"/>
      <c r="G17"/>
      <c r="H17"/>
      <c r="I17"/>
      <c r="J17" s="17"/>
      <c r="K17" s="17"/>
      <c r="L17" s="17"/>
      <c r="M17" s="17"/>
      <c r="N17" s="17"/>
    </row>
    <row r="19" spans="1:14" s="4" customFormat="1" x14ac:dyDescent="0.25">
      <c r="A19"/>
      <c r="B19"/>
      <c r="C19"/>
      <c r="D19"/>
      <c r="E19"/>
      <c r="F19"/>
      <c r="G19"/>
      <c r="H19"/>
      <c r="I19"/>
      <c r="J19" s="17"/>
      <c r="K19" s="17"/>
      <c r="L19" s="17"/>
      <c r="M19" s="17"/>
      <c r="N19" s="17"/>
    </row>
    <row r="25" spans="1:14" s="4" customFormat="1" x14ac:dyDescent="0.25">
      <c r="A25"/>
      <c r="B25"/>
      <c r="C25"/>
      <c r="D25"/>
      <c r="E25"/>
      <c r="F25"/>
      <c r="G25"/>
      <c r="H25"/>
      <c r="I25"/>
      <c r="J25" s="17"/>
      <c r="K25" s="17"/>
      <c r="L25" s="17"/>
      <c r="M25" s="17"/>
      <c r="N25" s="17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&amp;L&amp;8&amp;F &amp;A</oddHeader>
    <oddFooter>&amp;R&amp;8Page &amp;P of &amp;N&amp;L&amp;8© AMT Training 2008 - 2017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MTO_x0020_Back_x0020_up_x0020_Deleted xmlns="3af0eaf5-d15a-4ca0-bab1-c2f6d7551579" xsi:nil="true"/>
    <AMT_x0020_Course_x0020_Deleted xmlns="3af0eaf5-d15a-4ca0-bab1-c2f6d75515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1A31360A00342AD975AD4B039EC11" ma:contentTypeVersion="14" ma:contentTypeDescription="Create a new document." ma:contentTypeScope="" ma:versionID="6cb4cf78edd90df1bbb0650320bb8f3e">
  <xsd:schema xmlns:xsd="http://www.w3.org/2001/XMLSchema" xmlns:xs="http://www.w3.org/2001/XMLSchema" xmlns:p="http://schemas.microsoft.com/office/2006/metadata/properties" xmlns:ns2="3af0eaf5-d15a-4ca0-bab1-c2f6d7551579" xmlns:ns3="c10a7ca2-cc5f-4bd2-a11d-24827c529c8e" targetNamespace="http://schemas.microsoft.com/office/2006/metadata/properties" ma:root="true" ma:fieldsID="0d23a65c6b9576ace8fba1553beead4d" ns2:_="" ns3:_="">
    <xsd:import namespace="3af0eaf5-d15a-4ca0-bab1-c2f6d7551579"/>
    <xsd:import namespace="c10a7ca2-cc5f-4bd2-a11d-24827c529c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AMTO_x0020_Back_x0020_up_x0020_Deleted" minOccurs="0"/>
                <xsd:element ref="ns2:AMT_x0020_Course_x0020_Deleted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f0eaf5-d15a-4ca0-bab1-c2f6d7551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AMTO_x0020_Back_x0020_up_x0020_Deleted" ma:index="15" nillable="true" ma:displayName="AMTO Back up Deleted" ma:format="Dropdown" ma:internalName="AMTO_x0020_Back_x0020_up_x0020_Deleted">
      <xsd:simpleType>
        <xsd:restriction base="dms:Choice">
          <xsd:enumeration value="Yes"/>
          <xsd:enumeration value="No"/>
        </xsd:restriction>
      </xsd:simpleType>
    </xsd:element>
    <xsd:element name="AMT_x0020_Course_x0020_Deleted" ma:index="16" nillable="true" ma:displayName="AMT Course Deleted" ma:format="Dropdown" ma:internalName="AMT_x0020_Course_x0020_Deleted">
      <xsd:simpleType>
        <xsd:restriction base="dms:Choice">
          <xsd:enumeration value="Yes"/>
          <xsd:enumeration value="No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a7ca2-cc5f-4bd2-a11d-24827c529c8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DFC127-9E3C-4C65-8DF2-C3A944591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669649-BD4C-42BE-8F8F-8A80F6A10D3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83f8391-e4a2-463f-8fb8-60e5abcc6d1c"/>
    <ds:schemaRef ds:uri="bf06363c-5246-47e5-be90-bad63393fd6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6E1F6D-E784-45AA-96F7-33D673229F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</vt:lpstr>
      <vt:lpstr>Calcs</vt:lpstr>
      <vt:lpstr>Debt</vt:lpstr>
      <vt:lpstr>IncStat</vt:lpstr>
      <vt:lpstr>BalSheet</vt:lpstr>
      <vt:lpstr>CashFlow</vt:lpstr>
      <vt:lpstr>circ</vt:lpstr>
      <vt:lpstr>CoName</vt:lpstr>
      <vt:lpstr>Units</vt:lpstr>
    </vt:vector>
  </TitlesOfParts>
  <Company>AMT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</dc:creator>
  <dc:description>AMTX-V1/2765</dc:description>
  <cp:lastModifiedBy>AMT Training</cp:lastModifiedBy>
  <cp:lastPrinted>2017-12-06T12:46:42Z</cp:lastPrinted>
  <dcterms:created xsi:type="dcterms:W3CDTF">2008-02-13T09:24:48Z</dcterms:created>
  <dcterms:modified xsi:type="dcterms:W3CDTF">2018-12-14T16:40:18Z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0x010100DBC1A31360A00342AD975AD4B039EC11</vt:lpwstr>
  </property>
</Properties>
</file>